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omments4.xml" ContentType="application/vnd.openxmlformats-officedocument.spreadsheetml.comments+xml"/>
  <Override PartName="/xl/charts/chart1.xml" ContentType="application/vnd.openxmlformats-officedocument.drawingml.chart+xml"/>
  <Override PartName="/xl/comments5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xr:revisionPtr revIDLastSave="0" documentId="8_{3B23AC1F-6B37-4E3B-80AB-0C2CE72B21AC}" xr6:coauthVersionLast="47" xr6:coauthVersionMax="47" xr10:uidLastSave="{00000000-0000-0000-0000-000000000000}"/>
  <bookViews>
    <workbookView xWindow="0" yWindow="0" windowWidth="16384" windowHeight="8192" xr2:uid="{00000000-000D-0000-FFFF-FFFF00000000}"/>
  </bookViews>
  <sheets>
    <sheet name="Vista Cliente" sheetId="1" r:id="rId1"/>
    <sheet name="Guion Reunion" sheetId="2" r:id="rId2"/>
    <sheet name="Resumen" sheetId="3" r:id="rId3"/>
    <sheet name="Datos" sheetId="4" r:id="rId4"/>
    <sheet name="Titulares" sheetId="5" r:id="rId5"/>
    <sheet name="Gastos" sheetId="6" r:id="rId6"/>
    <sheet name="Amortizacion" sheetId="7" r:id="rId7"/>
    <sheet name="Escenarios" sheetId="8" r:id="rId8"/>
    <sheet name="Guia" sheetId="9" r:id="rId9"/>
  </sheets>
  <definedNames>
    <definedName name="_xlnm._FilterDatabase" localSheetId="6" hidden="1">Amortizacion!$A$5:$J$605</definedName>
    <definedName name="_xlnm._FilterDatabase" localSheetId="1" hidden="1">'Guion Reunion'!$A$6:$F$19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7" i="7" l="1"/>
  <c r="B27" i="6"/>
  <c r="B22" i="6"/>
  <c r="B4" i="6"/>
  <c r="B6" i="6" s="1"/>
  <c r="B12" i="6" s="1"/>
  <c r="B35" i="5"/>
  <c r="B21" i="5"/>
  <c r="C14" i="5"/>
  <c r="B14" i="5"/>
  <c r="B16" i="5" s="1"/>
  <c r="B25" i="5" s="1"/>
  <c r="B30" i="4"/>
  <c r="B29" i="4"/>
  <c r="B13" i="4"/>
  <c r="B6" i="4"/>
  <c r="B8" i="4" s="1"/>
  <c r="B10" i="4" s="1"/>
  <c r="B22" i="3"/>
  <c r="B21" i="3"/>
  <c r="B18" i="3"/>
  <c r="E13" i="3"/>
  <c r="B13" i="3"/>
  <c r="B12" i="3"/>
  <c r="B10" i="3"/>
  <c r="B9" i="3"/>
  <c r="B8" i="3"/>
  <c r="E7" i="3"/>
  <c r="B7" i="3"/>
  <c r="E6" i="3"/>
  <c r="B6" i="3"/>
  <c r="B21" i="1"/>
  <c r="E10" i="1"/>
  <c r="B10" i="1"/>
  <c r="E9" i="1"/>
  <c r="B9" i="1"/>
  <c r="E8" i="1"/>
  <c r="B8" i="1"/>
  <c r="E7" i="1"/>
  <c r="B7" i="1"/>
  <c r="E6" i="1"/>
  <c r="B6" i="1"/>
  <c r="B23" i="6" l="1"/>
  <c r="B17" i="6"/>
  <c r="B19" i="6" s="1"/>
  <c r="B34" i="4"/>
  <c r="E12" i="3" s="1"/>
  <c r="B33" i="4"/>
  <c r="F22" i="8"/>
  <c r="E22" i="8"/>
  <c r="D22" i="8"/>
  <c r="C22" i="8"/>
  <c r="B22" i="8"/>
  <c r="F21" i="8"/>
  <c r="E21" i="8"/>
  <c r="D21" i="8"/>
  <c r="C21" i="8"/>
  <c r="B21" i="8"/>
  <c r="F20" i="8"/>
  <c r="E20" i="8"/>
  <c r="D20" i="8"/>
  <c r="C20" i="8"/>
  <c r="B20" i="8"/>
  <c r="F19" i="8"/>
  <c r="E19" i="8"/>
  <c r="D19" i="8"/>
  <c r="C19" i="8"/>
  <c r="B19" i="8"/>
  <c r="F18" i="8"/>
  <c r="E18" i="8"/>
  <c r="D18" i="8"/>
  <c r="C18" i="8"/>
  <c r="B18" i="8"/>
  <c r="F17" i="8"/>
  <c r="E17" i="8"/>
  <c r="D17" i="8"/>
  <c r="C17" i="8"/>
  <c r="B17" i="8"/>
  <c r="F12" i="8"/>
  <c r="E12" i="8"/>
  <c r="D12" i="8"/>
  <c r="C12" i="8"/>
  <c r="B12" i="8"/>
  <c r="F11" i="8"/>
  <c r="E11" i="8"/>
  <c r="D11" i="8"/>
  <c r="C11" i="8"/>
  <c r="B11" i="8"/>
  <c r="F10" i="8"/>
  <c r="E10" i="8"/>
  <c r="D10" i="8"/>
  <c r="C10" i="8"/>
  <c r="B10" i="8"/>
  <c r="F9" i="8"/>
  <c r="E9" i="8"/>
  <c r="D9" i="8"/>
  <c r="C9" i="8"/>
  <c r="B9" i="8"/>
  <c r="F8" i="8"/>
  <c r="E8" i="8"/>
  <c r="D8" i="8"/>
  <c r="C8" i="8"/>
  <c r="B8" i="8"/>
  <c r="F7" i="8"/>
  <c r="E7" i="8"/>
  <c r="D7" i="8"/>
  <c r="C7" i="8"/>
  <c r="B7" i="8"/>
  <c r="A605" i="7"/>
  <c r="A604" i="7"/>
  <c r="A603" i="7"/>
  <c r="A602" i="7"/>
  <c r="A601" i="7"/>
  <c r="A600" i="7"/>
  <c r="A599" i="7"/>
  <c r="A598" i="7"/>
  <c r="A597" i="7"/>
  <c r="A596" i="7"/>
  <c r="A595" i="7"/>
  <c r="A594" i="7"/>
  <c r="A593" i="7"/>
  <c r="A592" i="7"/>
  <c r="A591" i="7"/>
  <c r="A590" i="7"/>
  <c r="A589" i="7"/>
  <c r="A588" i="7"/>
  <c r="A587" i="7"/>
  <c r="A586" i="7"/>
  <c r="A585" i="7"/>
  <c r="A584" i="7"/>
  <c r="A583" i="7"/>
  <c r="A582" i="7"/>
  <c r="A581" i="7"/>
  <c r="A580" i="7"/>
  <c r="A579" i="7"/>
  <c r="A578" i="7"/>
  <c r="A577" i="7"/>
  <c r="A576" i="7"/>
  <c r="A575" i="7"/>
  <c r="A574" i="7"/>
  <c r="A573" i="7"/>
  <c r="A572" i="7"/>
  <c r="A571" i="7"/>
  <c r="A570" i="7"/>
  <c r="A569" i="7"/>
  <c r="A568" i="7"/>
  <c r="A567" i="7"/>
  <c r="A566" i="7"/>
  <c r="A565" i="7"/>
  <c r="A564" i="7"/>
  <c r="A563" i="7"/>
  <c r="A562" i="7"/>
  <c r="A561" i="7"/>
  <c r="A560" i="7"/>
  <c r="A559" i="7"/>
  <c r="A558" i="7"/>
  <c r="A557" i="7"/>
  <c r="A556" i="7"/>
  <c r="A555" i="7"/>
  <c r="A554" i="7"/>
  <c r="A553" i="7"/>
  <c r="A552" i="7"/>
  <c r="A551" i="7"/>
  <c r="A550" i="7"/>
  <c r="A549" i="7"/>
  <c r="A548" i="7"/>
  <c r="A547" i="7"/>
  <c r="A546" i="7"/>
  <c r="A545" i="7"/>
  <c r="A544" i="7"/>
  <c r="A543" i="7"/>
  <c r="A542" i="7"/>
  <c r="A541" i="7"/>
  <c r="A540" i="7"/>
  <c r="A539" i="7"/>
  <c r="A538" i="7"/>
  <c r="A537" i="7"/>
  <c r="A536" i="7"/>
  <c r="A535" i="7"/>
  <c r="A534" i="7"/>
  <c r="A533" i="7"/>
  <c r="A532" i="7"/>
  <c r="A531" i="7"/>
  <c r="A530" i="7"/>
  <c r="A529" i="7"/>
  <c r="A528" i="7"/>
  <c r="A527" i="7"/>
  <c r="A526" i="7"/>
  <c r="A525" i="7"/>
  <c r="A524" i="7"/>
  <c r="A523" i="7"/>
  <c r="A522" i="7"/>
  <c r="A521" i="7"/>
  <c r="A520" i="7"/>
  <c r="A519" i="7"/>
  <c r="A518" i="7"/>
  <c r="A517" i="7"/>
  <c r="A516" i="7"/>
  <c r="A515" i="7"/>
  <c r="A514" i="7"/>
  <c r="A513" i="7"/>
  <c r="A512" i="7"/>
  <c r="A511" i="7"/>
  <c r="A510" i="7"/>
  <c r="A509" i="7"/>
  <c r="A508" i="7"/>
  <c r="A507" i="7"/>
  <c r="A506" i="7"/>
  <c r="A505" i="7"/>
  <c r="A504" i="7"/>
  <c r="A503" i="7"/>
  <c r="A502" i="7"/>
  <c r="A501" i="7"/>
  <c r="A500" i="7"/>
  <c r="A499" i="7"/>
  <c r="A498" i="7"/>
  <c r="A497" i="7"/>
  <c r="A496" i="7"/>
  <c r="A495" i="7"/>
  <c r="A494" i="7"/>
  <c r="A493" i="7"/>
  <c r="A492" i="7"/>
  <c r="A491" i="7"/>
  <c r="A490" i="7"/>
  <c r="A489" i="7"/>
  <c r="A488" i="7"/>
  <c r="A487" i="7"/>
  <c r="A486" i="7"/>
  <c r="A485" i="7"/>
  <c r="A484" i="7"/>
  <c r="A483" i="7"/>
  <c r="A482" i="7"/>
  <c r="A481" i="7"/>
  <c r="A480" i="7"/>
  <c r="A479" i="7"/>
  <c r="A478" i="7"/>
  <c r="A477" i="7"/>
  <c r="A476" i="7"/>
  <c r="A475" i="7"/>
  <c r="A474" i="7"/>
  <c r="A473" i="7"/>
  <c r="A472" i="7"/>
  <c r="A471" i="7"/>
  <c r="A470" i="7"/>
  <c r="A469" i="7"/>
  <c r="A468" i="7"/>
  <c r="A467" i="7"/>
  <c r="A466" i="7"/>
  <c r="A465" i="7"/>
  <c r="A464" i="7"/>
  <c r="A463" i="7"/>
  <c r="A462" i="7"/>
  <c r="A461" i="7"/>
  <c r="A460" i="7"/>
  <c r="A459" i="7"/>
  <c r="A458" i="7"/>
  <c r="A457" i="7"/>
  <c r="A456" i="7"/>
  <c r="A455" i="7"/>
  <c r="A454" i="7"/>
  <c r="A453" i="7"/>
  <c r="A452" i="7"/>
  <c r="A451" i="7"/>
  <c r="A450" i="7"/>
  <c r="A449" i="7"/>
  <c r="A448" i="7"/>
  <c r="A447" i="7"/>
  <c r="A446" i="7"/>
  <c r="A445" i="7"/>
  <c r="A444" i="7"/>
  <c r="A443" i="7"/>
  <c r="A442" i="7"/>
  <c r="A441" i="7"/>
  <c r="A440" i="7"/>
  <c r="A439" i="7"/>
  <c r="A438" i="7"/>
  <c r="A437" i="7"/>
  <c r="A436" i="7"/>
  <c r="A435" i="7"/>
  <c r="A434" i="7"/>
  <c r="A433" i="7"/>
  <c r="A432" i="7"/>
  <c r="A431" i="7"/>
  <c r="A430" i="7"/>
  <c r="A429" i="7"/>
  <c r="A428" i="7"/>
  <c r="A427" i="7"/>
  <c r="A426" i="7"/>
  <c r="A425" i="7"/>
  <c r="A424" i="7"/>
  <c r="A423" i="7"/>
  <c r="A422" i="7"/>
  <c r="A421" i="7"/>
  <c r="A420" i="7"/>
  <c r="A419" i="7"/>
  <c r="A418" i="7"/>
  <c r="A417" i="7"/>
  <c r="A416" i="7"/>
  <c r="A415" i="7"/>
  <c r="A414" i="7"/>
  <c r="A413" i="7"/>
  <c r="A412" i="7"/>
  <c r="A411" i="7"/>
  <c r="A410" i="7"/>
  <c r="A409" i="7"/>
  <c r="A408" i="7"/>
  <c r="A407" i="7"/>
  <c r="A406" i="7"/>
  <c r="A405" i="7"/>
  <c r="A404" i="7"/>
  <c r="A403" i="7"/>
  <c r="A402" i="7"/>
  <c r="A401" i="7"/>
  <c r="A400" i="7"/>
  <c r="A399" i="7"/>
  <c r="A398" i="7"/>
  <c r="A397" i="7"/>
  <c r="A396" i="7"/>
  <c r="A395" i="7"/>
  <c r="A394" i="7"/>
  <c r="A393" i="7"/>
  <c r="A392" i="7"/>
  <c r="A391" i="7"/>
  <c r="A390" i="7"/>
  <c r="A389" i="7"/>
  <c r="A388" i="7"/>
  <c r="A387" i="7"/>
  <c r="A386" i="7"/>
  <c r="A385" i="7"/>
  <c r="A384" i="7"/>
  <c r="A383" i="7"/>
  <c r="A382" i="7"/>
  <c r="A381" i="7"/>
  <c r="A380" i="7"/>
  <c r="A379" i="7"/>
  <c r="A378" i="7"/>
  <c r="A377" i="7"/>
  <c r="A376" i="7"/>
  <c r="A375" i="7"/>
  <c r="A374" i="7"/>
  <c r="A373" i="7"/>
  <c r="A372" i="7"/>
  <c r="A371" i="7"/>
  <c r="A370" i="7"/>
  <c r="A369" i="7"/>
  <c r="A368" i="7"/>
  <c r="A367" i="7"/>
  <c r="A366" i="7"/>
  <c r="A365" i="7"/>
  <c r="A364" i="7"/>
  <c r="A363" i="7"/>
  <c r="A362" i="7"/>
  <c r="A361" i="7"/>
  <c r="A360" i="7"/>
  <c r="A359" i="7"/>
  <c r="A358" i="7"/>
  <c r="A357" i="7"/>
  <c r="A356" i="7"/>
  <c r="A355" i="7"/>
  <c r="A354" i="7"/>
  <c r="A353" i="7"/>
  <c r="A352" i="7"/>
  <c r="A351" i="7"/>
  <c r="A350" i="7"/>
  <c r="A349" i="7"/>
  <c r="A348" i="7"/>
  <c r="A347" i="7"/>
  <c r="A346" i="7"/>
  <c r="A345" i="7"/>
  <c r="A344" i="7"/>
  <c r="A343" i="7"/>
  <c r="A342" i="7"/>
  <c r="A341" i="7"/>
  <c r="A340" i="7"/>
  <c r="A339" i="7"/>
  <c r="A338" i="7"/>
  <c r="A337" i="7"/>
  <c r="A336" i="7"/>
  <c r="A335" i="7"/>
  <c r="A334" i="7"/>
  <c r="A333" i="7"/>
  <c r="A332" i="7"/>
  <c r="A331" i="7"/>
  <c r="A330" i="7"/>
  <c r="A329" i="7"/>
  <c r="A328" i="7"/>
  <c r="A327" i="7"/>
  <c r="A326" i="7"/>
  <c r="A325" i="7"/>
  <c r="A324" i="7"/>
  <c r="A323" i="7"/>
  <c r="A322" i="7"/>
  <c r="A321" i="7"/>
  <c r="A320" i="7"/>
  <c r="A319" i="7"/>
  <c r="A318" i="7"/>
  <c r="A317" i="7"/>
  <c r="A316" i="7"/>
  <c r="A315" i="7"/>
  <c r="A314" i="7"/>
  <c r="A313" i="7"/>
  <c r="A312" i="7"/>
  <c r="A311" i="7"/>
  <c r="A310" i="7"/>
  <c r="A309" i="7"/>
  <c r="A308" i="7"/>
  <c r="A307" i="7"/>
  <c r="A306" i="7"/>
  <c r="A305" i="7"/>
  <c r="A304" i="7"/>
  <c r="A303" i="7"/>
  <c r="A302" i="7"/>
  <c r="A301" i="7"/>
  <c r="A300" i="7"/>
  <c r="A299" i="7"/>
  <c r="A298" i="7"/>
  <c r="A297" i="7"/>
  <c r="A296" i="7"/>
  <c r="A295" i="7"/>
  <c r="A294" i="7"/>
  <c r="A293" i="7"/>
  <c r="A292" i="7"/>
  <c r="A291" i="7"/>
  <c r="A290" i="7"/>
  <c r="A289" i="7"/>
  <c r="A288" i="7"/>
  <c r="A287" i="7"/>
  <c r="A286" i="7"/>
  <c r="A285" i="7"/>
  <c r="A284" i="7"/>
  <c r="A283" i="7"/>
  <c r="A282" i="7"/>
  <c r="A281" i="7"/>
  <c r="A280" i="7"/>
  <c r="A279" i="7"/>
  <c r="A278" i="7"/>
  <c r="A277" i="7"/>
  <c r="A276" i="7"/>
  <c r="A275" i="7"/>
  <c r="A274" i="7"/>
  <c r="A273" i="7"/>
  <c r="A272" i="7"/>
  <c r="A271" i="7"/>
  <c r="A270" i="7"/>
  <c r="A269" i="7"/>
  <c r="A268" i="7"/>
  <c r="A267" i="7"/>
  <c r="A266" i="7"/>
  <c r="A265" i="7"/>
  <c r="A264" i="7"/>
  <c r="A263" i="7"/>
  <c r="A262" i="7"/>
  <c r="A261" i="7"/>
  <c r="A260" i="7"/>
  <c r="A259" i="7"/>
  <c r="A258" i="7"/>
  <c r="A257" i="7"/>
  <c r="A256" i="7"/>
  <c r="A255" i="7"/>
  <c r="A254" i="7"/>
  <c r="A253" i="7"/>
  <c r="A252" i="7"/>
  <c r="A251" i="7"/>
  <c r="A250" i="7"/>
  <c r="A249" i="7"/>
  <c r="A248" i="7"/>
  <c r="A247" i="7"/>
  <c r="A246" i="7"/>
  <c r="A245" i="7"/>
  <c r="A244" i="7"/>
  <c r="A243" i="7"/>
  <c r="A242" i="7"/>
  <c r="A241" i="7"/>
  <c r="A240" i="7"/>
  <c r="A239" i="7"/>
  <c r="A238" i="7"/>
  <c r="A237" i="7"/>
  <c r="A236" i="7"/>
  <c r="A235" i="7"/>
  <c r="A234" i="7"/>
  <c r="A233" i="7"/>
  <c r="A232" i="7"/>
  <c r="A231" i="7"/>
  <c r="A230" i="7"/>
  <c r="A229" i="7"/>
  <c r="A228" i="7"/>
  <c r="A227" i="7"/>
  <c r="A226" i="7"/>
  <c r="A225" i="7"/>
  <c r="A224" i="7"/>
  <c r="A223" i="7"/>
  <c r="A222" i="7"/>
  <c r="A221" i="7"/>
  <c r="A220" i="7"/>
  <c r="A219" i="7"/>
  <c r="A218" i="7"/>
  <c r="A217" i="7"/>
  <c r="A216" i="7"/>
  <c r="A215" i="7"/>
  <c r="A214" i="7"/>
  <c r="A213" i="7"/>
  <c r="A212" i="7"/>
  <c r="A211" i="7"/>
  <c r="A210" i="7"/>
  <c r="A209" i="7"/>
  <c r="A208" i="7"/>
  <c r="A207" i="7"/>
  <c r="A206" i="7"/>
  <c r="A205" i="7"/>
  <c r="A204" i="7"/>
  <c r="A203" i="7"/>
  <c r="A202" i="7"/>
  <c r="A201" i="7"/>
  <c r="A200" i="7"/>
  <c r="A199" i="7"/>
  <c r="A198" i="7"/>
  <c r="A197" i="7"/>
  <c r="A196" i="7"/>
  <c r="A195" i="7"/>
  <c r="A194" i="7"/>
  <c r="A193" i="7"/>
  <c r="A192" i="7"/>
  <c r="A191" i="7"/>
  <c r="A190" i="7"/>
  <c r="A189" i="7"/>
  <c r="A188" i="7"/>
  <c r="A187" i="7"/>
  <c r="A186" i="7"/>
  <c r="A185" i="7"/>
  <c r="A184" i="7"/>
  <c r="A183" i="7"/>
  <c r="A182" i="7"/>
  <c r="A181" i="7"/>
  <c r="A180" i="7"/>
  <c r="A179" i="7"/>
  <c r="A178" i="7"/>
  <c r="A177" i="7"/>
  <c r="A176" i="7"/>
  <c r="A175" i="7"/>
  <c r="A174" i="7"/>
  <c r="A173" i="7"/>
  <c r="A172" i="7"/>
  <c r="A171" i="7"/>
  <c r="A170" i="7"/>
  <c r="A169" i="7"/>
  <c r="A168" i="7"/>
  <c r="A167" i="7"/>
  <c r="A166" i="7"/>
  <c r="A165" i="7"/>
  <c r="A164" i="7"/>
  <c r="A163" i="7"/>
  <c r="A162" i="7"/>
  <c r="A161" i="7"/>
  <c r="A160" i="7"/>
  <c r="A159" i="7"/>
  <c r="A158" i="7"/>
  <c r="A157" i="7"/>
  <c r="A156" i="7"/>
  <c r="A155" i="7"/>
  <c r="A154" i="7"/>
  <c r="A153" i="7"/>
  <c r="A152" i="7"/>
  <c r="A151" i="7"/>
  <c r="A150" i="7"/>
  <c r="A149" i="7"/>
  <c r="A148" i="7"/>
  <c r="A147" i="7"/>
  <c r="A146" i="7"/>
  <c r="A145" i="7"/>
  <c r="A144" i="7"/>
  <c r="A143" i="7"/>
  <c r="A142" i="7"/>
  <c r="A141" i="7"/>
  <c r="A140" i="7"/>
  <c r="A139" i="7"/>
  <c r="A138" i="7"/>
  <c r="A137" i="7"/>
  <c r="A136" i="7"/>
  <c r="A135" i="7"/>
  <c r="A134" i="7"/>
  <c r="A133" i="7"/>
  <c r="A132" i="7"/>
  <c r="A131" i="7"/>
  <c r="A130" i="7"/>
  <c r="A129" i="7"/>
  <c r="A128" i="7"/>
  <c r="A127" i="7"/>
  <c r="A126" i="7"/>
  <c r="A125" i="7"/>
  <c r="A124" i="7"/>
  <c r="A123" i="7"/>
  <c r="A122" i="7"/>
  <c r="A121" i="7"/>
  <c r="A120" i="7"/>
  <c r="A119" i="7"/>
  <c r="A118" i="7"/>
  <c r="A117" i="7"/>
  <c r="A116" i="7"/>
  <c r="A115" i="7"/>
  <c r="A114" i="7"/>
  <c r="A113" i="7"/>
  <c r="A112" i="7"/>
  <c r="A111" i="7"/>
  <c r="A110" i="7"/>
  <c r="A109" i="7"/>
  <c r="A108" i="7"/>
  <c r="A107" i="7"/>
  <c r="A106" i="7"/>
  <c r="A105" i="7"/>
  <c r="A104" i="7"/>
  <c r="A103" i="7"/>
  <c r="A102" i="7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B20" i="4"/>
  <c r="B25" i="6"/>
  <c r="B24" i="6"/>
  <c r="B26" i="6" s="1"/>
  <c r="B28" i="6"/>
  <c r="B20" i="3" l="1"/>
  <c r="E14" i="3"/>
  <c r="B20" i="1"/>
  <c r="E14" i="1"/>
  <c r="B14" i="3"/>
  <c r="E13" i="1"/>
  <c r="B29" i="6"/>
  <c r="E15" i="1"/>
  <c r="B31" i="4"/>
  <c r="B22" i="4"/>
  <c r="B11" i="3"/>
  <c r="B13" i="1"/>
  <c r="C6" i="7"/>
  <c r="B6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B142" i="7"/>
  <c r="B143" i="7"/>
  <c r="B144" i="7"/>
  <c r="B145" i="7"/>
  <c r="B146" i="7"/>
  <c r="B147" i="7"/>
  <c r="B148" i="7"/>
  <c r="B149" i="7"/>
  <c r="B150" i="7"/>
  <c r="B151" i="7"/>
  <c r="B152" i="7"/>
  <c r="B153" i="7"/>
  <c r="B154" i="7"/>
  <c r="B155" i="7"/>
  <c r="B156" i="7"/>
  <c r="B157" i="7"/>
  <c r="B158" i="7"/>
  <c r="B159" i="7"/>
  <c r="B160" i="7"/>
  <c r="B161" i="7"/>
  <c r="B162" i="7"/>
  <c r="B163" i="7"/>
  <c r="B164" i="7"/>
  <c r="B165" i="7"/>
  <c r="B166" i="7"/>
  <c r="B167" i="7"/>
  <c r="B168" i="7"/>
  <c r="B169" i="7"/>
  <c r="B170" i="7"/>
  <c r="B171" i="7"/>
  <c r="B172" i="7"/>
  <c r="B173" i="7"/>
  <c r="B174" i="7"/>
  <c r="B175" i="7"/>
  <c r="B176" i="7"/>
  <c r="B177" i="7"/>
  <c r="B178" i="7"/>
  <c r="B179" i="7"/>
  <c r="B180" i="7"/>
  <c r="B181" i="7"/>
  <c r="B182" i="7"/>
  <c r="B183" i="7"/>
  <c r="B184" i="7"/>
  <c r="B185" i="7"/>
  <c r="B186" i="7"/>
  <c r="B187" i="7"/>
  <c r="B188" i="7"/>
  <c r="B189" i="7"/>
  <c r="B190" i="7"/>
  <c r="B191" i="7"/>
  <c r="B192" i="7"/>
  <c r="B193" i="7"/>
  <c r="B194" i="7"/>
  <c r="B195" i="7"/>
  <c r="B196" i="7"/>
  <c r="B197" i="7"/>
  <c r="B198" i="7"/>
  <c r="B199" i="7"/>
  <c r="B200" i="7"/>
  <c r="B201" i="7"/>
  <c r="B202" i="7"/>
  <c r="B203" i="7"/>
  <c r="B204" i="7"/>
  <c r="B205" i="7"/>
  <c r="B206" i="7"/>
  <c r="B207" i="7"/>
  <c r="B208" i="7"/>
  <c r="B209" i="7"/>
  <c r="B210" i="7"/>
  <c r="B211" i="7"/>
  <c r="B212" i="7"/>
  <c r="B213" i="7"/>
  <c r="B214" i="7"/>
  <c r="B215" i="7"/>
  <c r="B216" i="7"/>
  <c r="B217" i="7"/>
  <c r="B218" i="7"/>
  <c r="B219" i="7"/>
  <c r="B220" i="7"/>
  <c r="B221" i="7"/>
  <c r="B222" i="7"/>
  <c r="B223" i="7"/>
  <c r="B224" i="7"/>
  <c r="B225" i="7"/>
  <c r="B226" i="7"/>
  <c r="B227" i="7"/>
  <c r="B228" i="7"/>
  <c r="B229" i="7"/>
  <c r="B230" i="7"/>
  <c r="B231" i="7"/>
  <c r="B232" i="7"/>
  <c r="B233" i="7"/>
  <c r="B234" i="7"/>
  <c r="B235" i="7"/>
  <c r="B236" i="7"/>
  <c r="B237" i="7"/>
  <c r="B238" i="7"/>
  <c r="B239" i="7"/>
  <c r="B240" i="7"/>
  <c r="B241" i="7"/>
  <c r="B242" i="7"/>
  <c r="B243" i="7"/>
  <c r="B244" i="7"/>
  <c r="B245" i="7"/>
  <c r="B246" i="7"/>
  <c r="B247" i="7"/>
  <c r="B248" i="7"/>
  <c r="B249" i="7"/>
  <c r="B250" i="7"/>
  <c r="B251" i="7"/>
  <c r="B252" i="7"/>
  <c r="B253" i="7"/>
  <c r="B254" i="7"/>
  <c r="B255" i="7"/>
  <c r="B256" i="7"/>
  <c r="B257" i="7"/>
  <c r="B258" i="7"/>
  <c r="B259" i="7"/>
  <c r="B260" i="7"/>
  <c r="B261" i="7"/>
  <c r="B262" i="7"/>
  <c r="B263" i="7"/>
  <c r="B264" i="7"/>
  <c r="B265" i="7"/>
  <c r="B266" i="7"/>
  <c r="B267" i="7"/>
  <c r="B268" i="7"/>
  <c r="B269" i="7"/>
  <c r="B270" i="7"/>
  <c r="B271" i="7"/>
  <c r="B272" i="7"/>
  <c r="B273" i="7"/>
  <c r="B274" i="7"/>
  <c r="B275" i="7"/>
  <c r="B276" i="7"/>
  <c r="B277" i="7"/>
  <c r="B278" i="7"/>
  <c r="B279" i="7"/>
  <c r="B280" i="7"/>
  <c r="B281" i="7"/>
  <c r="B282" i="7"/>
  <c r="B283" i="7"/>
  <c r="B284" i="7"/>
  <c r="B285" i="7"/>
  <c r="B286" i="7"/>
  <c r="B287" i="7"/>
  <c r="B288" i="7"/>
  <c r="B289" i="7"/>
  <c r="B290" i="7"/>
  <c r="B291" i="7"/>
  <c r="B292" i="7"/>
  <c r="B293" i="7"/>
  <c r="B294" i="7"/>
  <c r="B295" i="7"/>
  <c r="B296" i="7"/>
  <c r="B297" i="7"/>
  <c r="B298" i="7"/>
  <c r="B299" i="7"/>
  <c r="B300" i="7"/>
  <c r="B301" i="7"/>
  <c r="B302" i="7"/>
  <c r="B303" i="7"/>
  <c r="B304" i="7"/>
  <c r="B305" i="7"/>
  <c r="B306" i="7"/>
  <c r="B307" i="7"/>
  <c r="B308" i="7"/>
  <c r="B309" i="7"/>
  <c r="B310" i="7"/>
  <c r="B311" i="7"/>
  <c r="B312" i="7"/>
  <c r="B313" i="7"/>
  <c r="B314" i="7"/>
  <c r="B315" i="7"/>
  <c r="B316" i="7"/>
  <c r="B317" i="7"/>
  <c r="B318" i="7"/>
  <c r="B319" i="7"/>
  <c r="B320" i="7"/>
  <c r="B321" i="7"/>
  <c r="B322" i="7"/>
  <c r="B323" i="7"/>
  <c r="B324" i="7"/>
  <c r="B325" i="7"/>
  <c r="B326" i="7"/>
  <c r="B327" i="7"/>
  <c r="B328" i="7"/>
  <c r="B329" i="7"/>
  <c r="B330" i="7"/>
  <c r="B331" i="7"/>
  <c r="B332" i="7"/>
  <c r="B333" i="7"/>
  <c r="B334" i="7"/>
  <c r="B335" i="7"/>
  <c r="B336" i="7"/>
  <c r="B337" i="7"/>
  <c r="B338" i="7"/>
  <c r="B339" i="7"/>
  <c r="B340" i="7"/>
  <c r="B341" i="7"/>
  <c r="B342" i="7"/>
  <c r="B343" i="7"/>
  <c r="B344" i="7"/>
  <c r="B345" i="7"/>
  <c r="B346" i="7"/>
  <c r="B347" i="7"/>
  <c r="B348" i="7"/>
  <c r="B349" i="7"/>
  <c r="B350" i="7"/>
  <c r="B351" i="7"/>
  <c r="B352" i="7"/>
  <c r="B353" i="7"/>
  <c r="B354" i="7"/>
  <c r="B355" i="7"/>
  <c r="B356" i="7"/>
  <c r="B357" i="7"/>
  <c r="B358" i="7"/>
  <c r="B359" i="7"/>
  <c r="B360" i="7"/>
  <c r="B361" i="7"/>
  <c r="B362" i="7"/>
  <c r="B363" i="7"/>
  <c r="B364" i="7"/>
  <c r="B365" i="7"/>
  <c r="J366" i="7"/>
  <c r="I366" i="7"/>
  <c r="H366" i="7"/>
  <c r="F366" i="7"/>
  <c r="E366" i="7"/>
  <c r="D366" i="7"/>
  <c r="C366" i="7"/>
  <c r="B366" i="7"/>
  <c r="J367" i="7"/>
  <c r="I367" i="7"/>
  <c r="H367" i="7"/>
  <c r="F367" i="7"/>
  <c r="E367" i="7"/>
  <c r="D367" i="7"/>
  <c r="C367" i="7"/>
  <c r="B367" i="7"/>
  <c r="J368" i="7"/>
  <c r="I368" i="7"/>
  <c r="H368" i="7"/>
  <c r="F368" i="7"/>
  <c r="E368" i="7"/>
  <c r="D368" i="7"/>
  <c r="C368" i="7"/>
  <c r="B368" i="7"/>
  <c r="J369" i="7"/>
  <c r="I369" i="7"/>
  <c r="H369" i="7"/>
  <c r="F369" i="7"/>
  <c r="E369" i="7"/>
  <c r="D369" i="7"/>
  <c r="C369" i="7"/>
  <c r="B369" i="7"/>
  <c r="J370" i="7"/>
  <c r="I370" i="7"/>
  <c r="H370" i="7"/>
  <c r="F370" i="7"/>
  <c r="E370" i="7"/>
  <c r="D370" i="7"/>
  <c r="C370" i="7"/>
  <c r="B370" i="7"/>
  <c r="J371" i="7"/>
  <c r="I371" i="7"/>
  <c r="H371" i="7"/>
  <c r="F371" i="7"/>
  <c r="E371" i="7"/>
  <c r="D371" i="7"/>
  <c r="C371" i="7"/>
  <c r="B371" i="7"/>
  <c r="J372" i="7"/>
  <c r="I372" i="7"/>
  <c r="H372" i="7"/>
  <c r="F372" i="7"/>
  <c r="E372" i="7"/>
  <c r="D372" i="7"/>
  <c r="C372" i="7"/>
  <c r="B372" i="7"/>
  <c r="J373" i="7"/>
  <c r="I373" i="7"/>
  <c r="H373" i="7"/>
  <c r="F373" i="7"/>
  <c r="E373" i="7"/>
  <c r="D373" i="7"/>
  <c r="C373" i="7"/>
  <c r="B373" i="7"/>
  <c r="J374" i="7"/>
  <c r="I374" i="7"/>
  <c r="H374" i="7"/>
  <c r="F374" i="7"/>
  <c r="E374" i="7"/>
  <c r="D374" i="7"/>
  <c r="C374" i="7"/>
  <c r="B374" i="7"/>
  <c r="J375" i="7"/>
  <c r="I375" i="7"/>
  <c r="H375" i="7"/>
  <c r="F375" i="7"/>
  <c r="E375" i="7"/>
  <c r="D375" i="7"/>
  <c r="C375" i="7"/>
  <c r="B375" i="7"/>
  <c r="J376" i="7"/>
  <c r="I376" i="7"/>
  <c r="H376" i="7"/>
  <c r="F376" i="7"/>
  <c r="E376" i="7"/>
  <c r="D376" i="7"/>
  <c r="C376" i="7"/>
  <c r="B376" i="7"/>
  <c r="J377" i="7"/>
  <c r="I377" i="7"/>
  <c r="H377" i="7"/>
  <c r="F377" i="7"/>
  <c r="E377" i="7"/>
  <c r="D377" i="7"/>
  <c r="C377" i="7"/>
  <c r="B377" i="7"/>
  <c r="J378" i="7"/>
  <c r="I378" i="7"/>
  <c r="H378" i="7"/>
  <c r="F378" i="7"/>
  <c r="E378" i="7"/>
  <c r="D378" i="7"/>
  <c r="C378" i="7"/>
  <c r="B378" i="7"/>
  <c r="J379" i="7"/>
  <c r="I379" i="7"/>
  <c r="H379" i="7"/>
  <c r="F379" i="7"/>
  <c r="E379" i="7"/>
  <c r="D379" i="7"/>
  <c r="C379" i="7"/>
  <c r="B379" i="7"/>
  <c r="J380" i="7"/>
  <c r="I380" i="7"/>
  <c r="H380" i="7"/>
  <c r="F380" i="7"/>
  <c r="E380" i="7"/>
  <c r="D380" i="7"/>
  <c r="C380" i="7"/>
  <c r="B380" i="7"/>
  <c r="J381" i="7"/>
  <c r="I381" i="7"/>
  <c r="H381" i="7"/>
  <c r="F381" i="7"/>
  <c r="E381" i="7"/>
  <c r="D381" i="7"/>
  <c r="C381" i="7"/>
  <c r="B381" i="7"/>
  <c r="J382" i="7"/>
  <c r="I382" i="7"/>
  <c r="H382" i="7"/>
  <c r="F382" i="7"/>
  <c r="E382" i="7"/>
  <c r="D382" i="7"/>
  <c r="C382" i="7"/>
  <c r="B382" i="7"/>
  <c r="J383" i="7"/>
  <c r="I383" i="7"/>
  <c r="H383" i="7"/>
  <c r="F383" i="7"/>
  <c r="E383" i="7"/>
  <c r="D383" i="7"/>
  <c r="C383" i="7"/>
  <c r="B383" i="7"/>
  <c r="J384" i="7"/>
  <c r="I384" i="7"/>
  <c r="H384" i="7"/>
  <c r="F384" i="7"/>
  <c r="E384" i="7"/>
  <c r="D384" i="7"/>
  <c r="C384" i="7"/>
  <c r="B384" i="7"/>
  <c r="J385" i="7"/>
  <c r="I385" i="7"/>
  <c r="H385" i="7"/>
  <c r="F385" i="7"/>
  <c r="E385" i="7"/>
  <c r="D385" i="7"/>
  <c r="C385" i="7"/>
  <c r="B385" i="7"/>
  <c r="J386" i="7"/>
  <c r="I386" i="7"/>
  <c r="H386" i="7"/>
  <c r="F386" i="7"/>
  <c r="E386" i="7"/>
  <c r="D386" i="7"/>
  <c r="C386" i="7"/>
  <c r="B386" i="7"/>
  <c r="J387" i="7"/>
  <c r="I387" i="7"/>
  <c r="H387" i="7"/>
  <c r="F387" i="7"/>
  <c r="E387" i="7"/>
  <c r="D387" i="7"/>
  <c r="C387" i="7"/>
  <c r="B387" i="7"/>
  <c r="J388" i="7"/>
  <c r="I388" i="7"/>
  <c r="H388" i="7"/>
  <c r="F388" i="7"/>
  <c r="E388" i="7"/>
  <c r="D388" i="7"/>
  <c r="C388" i="7"/>
  <c r="B388" i="7"/>
  <c r="J389" i="7"/>
  <c r="I389" i="7"/>
  <c r="H389" i="7"/>
  <c r="F389" i="7"/>
  <c r="E389" i="7"/>
  <c r="D389" i="7"/>
  <c r="C389" i="7"/>
  <c r="B389" i="7"/>
  <c r="J390" i="7"/>
  <c r="I390" i="7"/>
  <c r="H390" i="7"/>
  <c r="F390" i="7"/>
  <c r="E390" i="7"/>
  <c r="D390" i="7"/>
  <c r="C390" i="7"/>
  <c r="B390" i="7"/>
  <c r="J391" i="7"/>
  <c r="I391" i="7"/>
  <c r="H391" i="7"/>
  <c r="F391" i="7"/>
  <c r="E391" i="7"/>
  <c r="D391" i="7"/>
  <c r="C391" i="7"/>
  <c r="B391" i="7"/>
  <c r="J392" i="7"/>
  <c r="I392" i="7"/>
  <c r="H392" i="7"/>
  <c r="F392" i="7"/>
  <c r="E392" i="7"/>
  <c r="D392" i="7"/>
  <c r="C392" i="7"/>
  <c r="B392" i="7"/>
  <c r="J393" i="7"/>
  <c r="I393" i="7"/>
  <c r="H393" i="7"/>
  <c r="F393" i="7"/>
  <c r="E393" i="7"/>
  <c r="D393" i="7"/>
  <c r="C393" i="7"/>
  <c r="B393" i="7"/>
  <c r="J394" i="7"/>
  <c r="I394" i="7"/>
  <c r="H394" i="7"/>
  <c r="F394" i="7"/>
  <c r="E394" i="7"/>
  <c r="D394" i="7"/>
  <c r="C394" i="7"/>
  <c r="B394" i="7"/>
  <c r="J395" i="7"/>
  <c r="I395" i="7"/>
  <c r="H395" i="7"/>
  <c r="F395" i="7"/>
  <c r="E395" i="7"/>
  <c r="D395" i="7"/>
  <c r="C395" i="7"/>
  <c r="B395" i="7"/>
  <c r="J396" i="7"/>
  <c r="I396" i="7"/>
  <c r="H396" i="7"/>
  <c r="F396" i="7"/>
  <c r="E396" i="7"/>
  <c r="D396" i="7"/>
  <c r="C396" i="7"/>
  <c r="B396" i="7"/>
  <c r="J397" i="7"/>
  <c r="I397" i="7"/>
  <c r="H397" i="7"/>
  <c r="F397" i="7"/>
  <c r="E397" i="7"/>
  <c r="D397" i="7"/>
  <c r="C397" i="7"/>
  <c r="B397" i="7"/>
  <c r="J398" i="7"/>
  <c r="I398" i="7"/>
  <c r="H398" i="7"/>
  <c r="F398" i="7"/>
  <c r="E398" i="7"/>
  <c r="D398" i="7"/>
  <c r="C398" i="7"/>
  <c r="B398" i="7"/>
  <c r="J399" i="7"/>
  <c r="I399" i="7"/>
  <c r="H399" i="7"/>
  <c r="F399" i="7"/>
  <c r="E399" i="7"/>
  <c r="D399" i="7"/>
  <c r="C399" i="7"/>
  <c r="B399" i="7"/>
  <c r="J400" i="7"/>
  <c r="I400" i="7"/>
  <c r="H400" i="7"/>
  <c r="F400" i="7"/>
  <c r="E400" i="7"/>
  <c r="D400" i="7"/>
  <c r="C400" i="7"/>
  <c r="B400" i="7"/>
  <c r="J401" i="7"/>
  <c r="I401" i="7"/>
  <c r="H401" i="7"/>
  <c r="F401" i="7"/>
  <c r="E401" i="7"/>
  <c r="D401" i="7"/>
  <c r="C401" i="7"/>
  <c r="B401" i="7"/>
  <c r="J402" i="7"/>
  <c r="I402" i="7"/>
  <c r="H402" i="7"/>
  <c r="F402" i="7"/>
  <c r="E402" i="7"/>
  <c r="D402" i="7"/>
  <c r="C402" i="7"/>
  <c r="B402" i="7"/>
  <c r="J403" i="7"/>
  <c r="I403" i="7"/>
  <c r="H403" i="7"/>
  <c r="F403" i="7"/>
  <c r="E403" i="7"/>
  <c r="D403" i="7"/>
  <c r="C403" i="7"/>
  <c r="B403" i="7"/>
  <c r="J404" i="7"/>
  <c r="I404" i="7"/>
  <c r="H404" i="7"/>
  <c r="F404" i="7"/>
  <c r="E404" i="7"/>
  <c r="D404" i="7"/>
  <c r="C404" i="7"/>
  <c r="B404" i="7"/>
  <c r="J405" i="7"/>
  <c r="I405" i="7"/>
  <c r="H405" i="7"/>
  <c r="F405" i="7"/>
  <c r="E405" i="7"/>
  <c r="D405" i="7"/>
  <c r="C405" i="7"/>
  <c r="B405" i="7"/>
  <c r="J406" i="7"/>
  <c r="I406" i="7"/>
  <c r="H406" i="7"/>
  <c r="F406" i="7"/>
  <c r="E406" i="7"/>
  <c r="D406" i="7"/>
  <c r="C406" i="7"/>
  <c r="B406" i="7"/>
  <c r="J407" i="7"/>
  <c r="I407" i="7"/>
  <c r="H407" i="7"/>
  <c r="F407" i="7"/>
  <c r="E407" i="7"/>
  <c r="D407" i="7"/>
  <c r="C407" i="7"/>
  <c r="B407" i="7"/>
  <c r="J408" i="7"/>
  <c r="I408" i="7"/>
  <c r="H408" i="7"/>
  <c r="F408" i="7"/>
  <c r="E408" i="7"/>
  <c r="D408" i="7"/>
  <c r="C408" i="7"/>
  <c r="B408" i="7"/>
  <c r="J409" i="7"/>
  <c r="I409" i="7"/>
  <c r="H409" i="7"/>
  <c r="F409" i="7"/>
  <c r="E409" i="7"/>
  <c r="D409" i="7"/>
  <c r="C409" i="7"/>
  <c r="B409" i="7"/>
  <c r="J410" i="7"/>
  <c r="I410" i="7"/>
  <c r="H410" i="7"/>
  <c r="F410" i="7"/>
  <c r="E410" i="7"/>
  <c r="D410" i="7"/>
  <c r="C410" i="7"/>
  <c r="B410" i="7"/>
  <c r="J411" i="7"/>
  <c r="I411" i="7"/>
  <c r="H411" i="7"/>
  <c r="F411" i="7"/>
  <c r="E411" i="7"/>
  <c r="D411" i="7"/>
  <c r="C411" i="7"/>
  <c r="B411" i="7"/>
  <c r="J412" i="7"/>
  <c r="I412" i="7"/>
  <c r="H412" i="7"/>
  <c r="F412" i="7"/>
  <c r="E412" i="7"/>
  <c r="D412" i="7"/>
  <c r="C412" i="7"/>
  <c r="B412" i="7"/>
  <c r="J413" i="7"/>
  <c r="I413" i="7"/>
  <c r="H413" i="7"/>
  <c r="F413" i="7"/>
  <c r="E413" i="7"/>
  <c r="D413" i="7"/>
  <c r="C413" i="7"/>
  <c r="B413" i="7"/>
  <c r="J414" i="7"/>
  <c r="I414" i="7"/>
  <c r="H414" i="7"/>
  <c r="F414" i="7"/>
  <c r="E414" i="7"/>
  <c r="D414" i="7"/>
  <c r="C414" i="7"/>
  <c r="B414" i="7"/>
  <c r="J415" i="7"/>
  <c r="I415" i="7"/>
  <c r="H415" i="7"/>
  <c r="F415" i="7"/>
  <c r="E415" i="7"/>
  <c r="D415" i="7"/>
  <c r="C415" i="7"/>
  <c r="B415" i="7"/>
  <c r="J416" i="7"/>
  <c r="I416" i="7"/>
  <c r="H416" i="7"/>
  <c r="F416" i="7"/>
  <c r="E416" i="7"/>
  <c r="D416" i="7"/>
  <c r="C416" i="7"/>
  <c r="B416" i="7"/>
  <c r="J417" i="7"/>
  <c r="I417" i="7"/>
  <c r="H417" i="7"/>
  <c r="F417" i="7"/>
  <c r="E417" i="7"/>
  <c r="D417" i="7"/>
  <c r="C417" i="7"/>
  <c r="B417" i="7"/>
  <c r="J418" i="7"/>
  <c r="I418" i="7"/>
  <c r="H418" i="7"/>
  <c r="F418" i="7"/>
  <c r="E418" i="7"/>
  <c r="D418" i="7"/>
  <c r="C418" i="7"/>
  <c r="B418" i="7"/>
  <c r="J419" i="7"/>
  <c r="I419" i="7"/>
  <c r="H419" i="7"/>
  <c r="F419" i="7"/>
  <c r="E419" i="7"/>
  <c r="D419" i="7"/>
  <c r="C419" i="7"/>
  <c r="B419" i="7"/>
  <c r="J420" i="7"/>
  <c r="I420" i="7"/>
  <c r="H420" i="7"/>
  <c r="F420" i="7"/>
  <c r="E420" i="7"/>
  <c r="D420" i="7"/>
  <c r="C420" i="7"/>
  <c r="B420" i="7"/>
  <c r="J421" i="7"/>
  <c r="I421" i="7"/>
  <c r="H421" i="7"/>
  <c r="F421" i="7"/>
  <c r="E421" i="7"/>
  <c r="D421" i="7"/>
  <c r="C421" i="7"/>
  <c r="B421" i="7"/>
  <c r="J422" i="7"/>
  <c r="I422" i="7"/>
  <c r="H422" i="7"/>
  <c r="F422" i="7"/>
  <c r="E422" i="7"/>
  <c r="D422" i="7"/>
  <c r="C422" i="7"/>
  <c r="B422" i="7"/>
  <c r="J423" i="7"/>
  <c r="I423" i="7"/>
  <c r="H423" i="7"/>
  <c r="F423" i="7"/>
  <c r="E423" i="7"/>
  <c r="D423" i="7"/>
  <c r="C423" i="7"/>
  <c r="B423" i="7"/>
  <c r="J424" i="7"/>
  <c r="I424" i="7"/>
  <c r="H424" i="7"/>
  <c r="F424" i="7"/>
  <c r="E424" i="7"/>
  <c r="D424" i="7"/>
  <c r="C424" i="7"/>
  <c r="B424" i="7"/>
  <c r="J425" i="7"/>
  <c r="I425" i="7"/>
  <c r="H425" i="7"/>
  <c r="F425" i="7"/>
  <c r="E425" i="7"/>
  <c r="D425" i="7"/>
  <c r="C425" i="7"/>
  <c r="B425" i="7"/>
  <c r="J426" i="7"/>
  <c r="I426" i="7"/>
  <c r="H426" i="7"/>
  <c r="F426" i="7"/>
  <c r="E426" i="7"/>
  <c r="D426" i="7"/>
  <c r="C426" i="7"/>
  <c r="B426" i="7"/>
  <c r="J427" i="7"/>
  <c r="I427" i="7"/>
  <c r="H427" i="7"/>
  <c r="F427" i="7"/>
  <c r="E427" i="7"/>
  <c r="D427" i="7"/>
  <c r="C427" i="7"/>
  <c r="B427" i="7"/>
  <c r="J428" i="7"/>
  <c r="I428" i="7"/>
  <c r="H428" i="7"/>
  <c r="F428" i="7"/>
  <c r="E428" i="7"/>
  <c r="D428" i="7"/>
  <c r="C428" i="7"/>
  <c r="B428" i="7"/>
  <c r="J429" i="7"/>
  <c r="I429" i="7"/>
  <c r="H429" i="7"/>
  <c r="F429" i="7"/>
  <c r="E429" i="7"/>
  <c r="D429" i="7"/>
  <c r="C429" i="7"/>
  <c r="B429" i="7"/>
  <c r="J430" i="7"/>
  <c r="I430" i="7"/>
  <c r="H430" i="7"/>
  <c r="F430" i="7"/>
  <c r="E430" i="7"/>
  <c r="D430" i="7"/>
  <c r="C430" i="7"/>
  <c r="B430" i="7"/>
  <c r="J431" i="7"/>
  <c r="I431" i="7"/>
  <c r="H431" i="7"/>
  <c r="F431" i="7"/>
  <c r="E431" i="7"/>
  <c r="D431" i="7"/>
  <c r="C431" i="7"/>
  <c r="B431" i="7"/>
  <c r="J432" i="7"/>
  <c r="I432" i="7"/>
  <c r="H432" i="7"/>
  <c r="F432" i="7"/>
  <c r="E432" i="7"/>
  <c r="D432" i="7"/>
  <c r="C432" i="7"/>
  <c r="B432" i="7"/>
  <c r="J433" i="7"/>
  <c r="I433" i="7"/>
  <c r="H433" i="7"/>
  <c r="F433" i="7"/>
  <c r="E433" i="7"/>
  <c r="D433" i="7"/>
  <c r="C433" i="7"/>
  <c r="B433" i="7"/>
  <c r="J434" i="7"/>
  <c r="I434" i="7"/>
  <c r="H434" i="7"/>
  <c r="F434" i="7"/>
  <c r="E434" i="7"/>
  <c r="D434" i="7"/>
  <c r="C434" i="7"/>
  <c r="B434" i="7"/>
  <c r="J435" i="7"/>
  <c r="I435" i="7"/>
  <c r="H435" i="7"/>
  <c r="F435" i="7"/>
  <c r="E435" i="7"/>
  <c r="D435" i="7"/>
  <c r="C435" i="7"/>
  <c r="B435" i="7"/>
  <c r="J436" i="7"/>
  <c r="I436" i="7"/>
  <c r="H436" i="7"/>
  <c r="F436" i="7"/>
  <c r="E436" i="7"/>
  <c r="D436" i="7"/>
  <c r="C436" i="7"/>
  <c r="B436" i="7"/>
  <c r="J437" i="7"/>
  <c r="I437" i="7"/>
  <c r="H437" i="7"/>
  <c r="F437" i="7"/>
  <c r="E437" i="7"/>
  <c r="D437" i="7"/>
  <c r="C437" i="7"/>
  <c r="B437" i="7"/>
  <c r="J438" i="7"/>
  <c r="I438" i="7"/>
  <c r="H438" i="7"/>
  <c r="F438" i="7"/>
  <c r="E438" i="7"/>
  <c r="D438" i="7"/>
  <c r="C438" i="7"/>
  <c r="B438" i="7"/>
  <c r="J439" i="7"/>
  <c r="I439" i="7"/>
  <c r="H439" i="7"/>
  <c r="F439" i="7"/>
  <c r="E439" i="7"/>
  <c r="D439" i="7"/>
  <c r="C439" i="7"/>
  <c r="B439" i="7"/>
  <c r="J440" i="7"/>
  <c r="I440" i="7"/>
  <c r="H440" i="7"/>
  <c r="F440" i="7"/>
  <c r="E440" i="7"/>
  <c r="D440" i="7"/>
  <c r="C440" i="7"/>
  <c r="B440" i="7"/>
  <c r="J441" i="7"/>
  <c r="I441" i="7"/>
  <c r="H441" i="7"/>
  <c r="F441" i="7"/>
  <c r="E441" i="7"/>
  <c r="D441" i="7"/>
  <c r="C441" i="7"/>
  <c r="B441" i="7"/>
  <c r="J442" i="7"/>
  <c r="I442" i="7"/>
  <c r="H442" i="7"/>
  <c r="F442" i="7"/>
  <c r="E442" i="7"/>
  <c r="D442" i="7"/>
  <c r="C442" i="7"/>
  <c r="B442" i="7"/>
  <c r="J443" i="7"/>
  <c r="I443" i="7"/>
  <c r="H443" i="7"/>
  <c r="F443" i="7"/>
  <c r="E443" i="7"/>
  <c r="D443" i="7"/>
  <c r="C443" i="7"/>
  <c r="B443" i="7"/>
  <c r="J444" i="7"/>
  <c r="I444" i="7"/>
  <c r="H444" i="7"/>
  <c r="F444" i="7"/>
  <c r="E444" i="7"/>
  <c r="D444" i="7"/>
  <c r="C444" i="7"/>
  <c r="B444" i="7"/>
  <c r="J445" i="7"/>
  <c r="I445" i="7"/>
  <c r="H445" i="7"/>
  <c r="F445" i="7"/>
  <c r="E445" i="7"/>
  <c r="D445" i="7"/>
  <c r="C445" i="7"/>
  <c r="B445" i="7"/>
  <c r="J446" i="7"/>
  <c r="I446" i="7"/>
  <c r="H446" i="7"/>
  <c r="F446" i="7"/>
  <c r="E446" i="7"/>
  <c r="D446" i="7"/>
  <c r="C446" i="7"/>
  <c r="B446" i="7"/>
  <c r="J447" i="7"/>
  <c r="I447" i="7"/>
  <c r="H447" i="7"/>
  <c r="F447" i="7"/>
  <c r="E447" i="7"/>
  <c r="D447" i="7"/>
  <c r="C447" i="7"/>
  <c r="B447" i="7"/>
  <c r="J448" i="7"/>
  <c r="I448" i="7"/>
  <c r="H448" i="7"/>
  <c r="F448" i="7"/>
  <c r="E448" i="7"/>
  <c r="D448" i="7"/>
  <c r="C448" i="7"/>
  <c r="B448" i="7"/>
  <c r="J449" i="7"/>
  <c r="I449" i="7"/>
  <c r="H449" i="7"/>
  <c r="F449" i="7"/>
  <c r="E449" i="7"/>
  <c r="D449" i="7"/>
  <c r="C449" i="7"/>
  <c r="B449" i="7"/>
  <c r="J450" i="7"/>
  <c r="I450" i="7"/>
  <c r="H450" i="7"/>
  <c r="F450" i="7"/>
  <c r="E450" i="7"/>
  <c r="D450" i="7"/>
  <c r="C450" i="7"/>
  <c r="B450" i="7"/>
  <c r="J451" i="7"/>
  <c r="I451" i="7"/>
  <c r="H451" i="7"/>
  <c r="F451" i="7"/>
  <c r="E451" i="7"/>
  <c r="D451" i="7"/>
  <c r="C451" i="7"/>
  <c r="B451" i="7"/>
  <c r="J452" i="7"/>
  <c r="I452" i="7"/>
  <c r="H452" i="7"/>
  <c r="F452" i="7"/>
  <c r="E452" i="7"/>
  <c r="D452" i="7"/>
  <c r="C452" i="7"/>
  <c r="B452" i="7"/>
  <c r="J453" i="7"/>
  <c r="I453" i="7"/>
  <c r="H453" i="7"/>
  <c r="F453" i="7"/>
  <c r="E453" i="7"/>
  <c r="D453" i="7"/>
  <c r="C453" i="7"/>
  <c r="B453" i="7"/>
  <c r="J454" i="7"/>
  <c r="I454" i="7"/>
  <c r="H454" i="7"/>
  <c r="F454" i="7"/>
  <c r="E454" i="7"/>
  <c r="D454" i="7"/>
  <c r="C454" i="7"/>
  <c r="B454" i="7"/>
  <c r="J455" i="7"/>
  <c r="I455" i="7"/>
  <c r="H455" i="7"/>
  <c r="F455" i="7"/>
  <c r="E455" i="7"/>
  <c r="D455" i="7"/>
  <c r="C455" i="7"/>
  <c r="B455" i="7"/>
  <c r="J456" i="7"/>
  <c r="I456" i="7"/>
  <c r="H456" i="7"/>
  <c r="F456" i="7"/>
  <c r="E456" i="7"/>
  <c r="D456" i="7"/>
  <c r="C456" i="7"/>
  <c r="B456" i="7"/>
  <c r="J457" i="7"/>
  <c r="I457" i="7"/>
  <c r="H457" i="7"/>
  <c r="F457" i="7"/>
  <c r="E457" i="7"/>
  <c r="D457" i="7"/>
  <c r="C457" i="7"/>
  <c r="B457" i="7"/>
  <c r="J458" i="7"/>
  <c r="I458" i="7"/>
  <c r="H458" i="7"/>
  <c r="F458" i="7"/>
  <c r="E458" i="7"/>
  <c r="D458" i="7"/>
  <c r="C458" i="7"/>
  <c r="B458" i="7"/>
  <c r="J459" i="7"/>
  <c r="I459" i="7"/>
  <c r="H459" i="7"/>
  <c r="F459" i="7"/>
  <c r="E459" i="7"/>
  <c r="D459" i="7"/>
  <c r="C459" i="7"/>
  <c r="B459" i="7"/>
  <c r="J460" i="7"/>
  <c r="I460" i="7"/>
  <c r="H460" i="7"/>
  <c r="F460" i="7"/>
  <c r="E460" i="7"/>
  <c r="D460" i="7"/>
  <c r="C460" i="7"/>
  <c r="B460" i="7"/>
  <c r="J461" i="7"/>
  <c r="I461" i="7"/>
  <c r="H461" i="7"/>
  <c r="F461" i="7"/>
  <c r="E461" i="7"/>
  <c r="D461" i="7"/>
  <c r="C461" i="7"/>
  <c r="B461" i="7"/>
  <c r="J462" i="7"/>
  <c r="I462" i="7"/>
  <c r="H462" i="7"/>
  <c r="F462" i="7"/>
  <c r="E462" i="7"/>
  <c r="D462" i="7"/>
  <c r="C462" i="7"/>
  <c r="B462" i="7"/>
  <c r="J463" i="7"/>
  <c r="I463" i="7"/>
  <c r="H463" i="7"/>
  <c r="F463" i="7"/>
  <c r="E463" i="7"/>
  <c r="D463" i="7"/>
  <c r="C463" i="7"/>
  <c r="B463" i="7"/>
  <c r="J464" i="7"/>
  <c r="I464" i="7"/>
  <c r="H464" i="7"/>
  <c r="F464" i="7"/>
  <c r="E464" i="7"/>
  <c r="D464" i="7"/>
  <c r="C464" i="7"/>
  <c r="B464" i="7"/>
  <c r="J465" i="7"/>
  <c r="I465" i="7"/>
  <c r="H465" i="7"/>
  <c r="F465" i="7"/>
  <c r="E465" i="7"/>
  <c r="D465" i="7"/>
  <c r="C465" i="7"/>
  <c r="B465" i="7"/>
  <c r="J466" i="7"/>
  <c r="I466" i="7"/>
  <c r="H466" i="7"/>
  <c r="F466" i="7"/>
  <c r="E466" i="7"/>
  <c r="D466" i="7"/>
  <c r="C466" i="7"/>
  <c r="B466" i="7"/>
  <c r="J467" i="7"/>
  <c r="I467" i="7"/>
  <c r="H467" i="7"/>
  <c r="F467" i="7"/>
  <c r="E467" i="7"/>
  <c r="D467" i="7"/>
  <c r="C467" i="7"/>
  <c r="B467" i="7"/>
  <c r="J468" i="7"/>
  <c r="I468" i="7"/>
  <c r="H468" i="7"/>
  <c r="F468" i="7"/>
  <c r="E468" i="7"/>
  <c r="D468" i="7"/>
  <c r="C468" i="7"/>
  <c r="B468" i="7"/>
  <c r="J469" i="7"/>
  <c r="I469" i="7"/>
  <c r="H469" i="7"/>
  <c r="F469" i="7"/>
  <c r="E469" i="7"/>
  <c r="D469" i="7"/>
  <c r="C469" i="7"/>
  <c r="B469" i="7"/>
  <c r="J470" i="7"/>
  <c r="I470" i="7"/>
  <c r="H470" i="7"/>
  <c r="F470" i="7"/>
  <c r="E470" i="7"/>
  <c r="D470" i="7"/>
  <c r="C470" i="7"/>
  <c r="B470" i="7"/>
  <c r="J471" i="7"/>
  <c r="I471" i="7"/>
  <c r="H471" i="7"/>
  <c r="F471" i="7"/>
  <c r="E471" i="7"/>
  <c r="D471" i="7"/>
  <c r="C471" i="7"/>
  <c r="B471" i="7"/>
  <c r="J472" i="7"/>
  <c r="I472" i="7"/>
  <c r="H472" i="7"/>
  <c r="F472" i="7"/>
  <c r="E472" i="7"/>
  <c r="D472" i="7"/>
  <c r="C472" i="7"/>
  <c r="B472" i="7"/>
  <c r="J473" i="7"/>
  <c r="I473" i="7"/>
  <c r="H473" i="7"/>
  <c r="F473" i="7"/>
  <c r="E473" i="7"/>
  <c r="D473" i="7"/>
  <c r="C473" i="7"/>
  <c r="B473" i="7"/>
  <c r="J474" i="7"/>
  <c r="I474" i="7"/>
  <c r="H474" i="7"/>
  <c r="F474" i="7"/>
  <c r="E474" i="7"/>
  <c r="D474" i="7"/>
  <c r="C474" i="7"/>
  <c r="B474" i="7"/>
  <c r="J475" i="7"/>
  <c r="I475" i="7"/>
  <c r="H475" i="7"/>
  <c r="F475" i="7"/>
  <c r="E475" i="7"/>
  <c r="D475" i="7"/>
  <c r="C475" i="7"/>
  <c r="B475" i="7"/>
  <c r="J476" i="7"/>
  <c r="I476" i="7"/>
  <c r="H476" i="7"/>
  <c r="F476" i="7"/>
  <c r="E476" i="7"/>
  <c r="D476" i="7"/>
  <c r="C476" i="7"/>
  <c r="B476" i="7"/>
  <c r="J477" i="7"/>
  <c r="I477" i="7"/>
  <c r="H477" i="7"/>
  <c r="F477" i="7"/>
  <c r="E477" i="7"/>
  <c r="D477" i="7"/>
  <c r="C477" i="7"/>
  <c r="B477" i="7"/>
  <c r="J478" i="7"/>
  <c r="I478" i="7"/>
  <c r="H478" i="7"/>
  <c r="F478" i="7"/>
  <c r="E478" i="7"/>
  <c r="D478" i="7"/>
  <c r="C478" i="7"/>
  <c r="B478" i="7"/>
  <c r="J479" i="7"/>
  <c r="I479" i="7"/>
  <c r="H479" i="7"/>
  <c r="F479" i="7"/>
  <c r="E479" i="7"/>
  <c r="D479" i="7"/>
  <c r="C479" i="7"/>
  <c r="B479" i="7"/>
  <c r="J480" i="7"/>
  <c r="I480" i="7"/>
  <c r="H480" i="7"/>
  <c r="F480" i="7"/>
  <c r="E480" i="7"/>
  <c r="D480" i="7"/>
  <c r="C480" i="7"/>
  <c r="B480" i="7"/>
  <c r="J481" i="7"/>
  <c r="I481" i="7"/>
  <c r="H481" i="7"/>
  <c r="F481" i="7"/>
  <c r="E481" i="7"/>
  <c r="D481" i="7"/>
  <c r="C481" i="7"/>
  <c r="B481" i="7"/>
  <c r="J482" i="7"/>
  <c r="I482" i="7"/>
  <c r="H482" i="7"/>
  <c r="F482" i="7"/>
  <c r="E482" i="7"/>
  <c r="D482" i="7"/>
  <c r="C482" i="7"/>
  <c r="B482" i="7"/>
  <c r="J483" i="7"/>
  <c r="I483" i="7"/>
  <c r="H483" i="7"/>
  <c r="F483" i="7"/>
  <c r="E483" i="7"/>
  <c r="D483" i="7"/>
  <c r="C483" i="7"/>
  <c r="B483" i="7"/>
  <c r="J484" i="7"/>
  <c r="I484" i="7"/>
  <c r="H484" i="7"/>
  <c r="F484" i="7"/>
  <c r="E484" i="7"/>
  <c r="D484" i="7"/>
  <c r="C484" i="7"/>
  <c r="B484" i="7"/>
  <c r="J485" i="7"/>
  <c r="I485" i="7"/>
  <c r="H485" i="7"/>
  <c r="F485" i="7"/>
  <c r="E485" i="7"/>
  <c r="D485" i="7"/>
  <c r="C485" i="7"/>
  <c r="B485" i="7"/>
  <c r="J486" i="7"/>
  <c r="I486" i="7"/>
  <c r="H486" i="7"/>
  <c r="F486" i="7"/>
  <c r="E486" i="7"/>
  <c r="D486" i="7"/>
  <c r="C486" i="7"/>
  <c r="B486" i="7"/>
  <c r="J487" i="7"/>
  <c r="I487" i="7"/>
  <c r="H487" i="7"/>
  <c r="F487" i="7"/>
  <c r="E487" i="7"/>
  <c r="D487" i="7"/>
  <c r="C487" i="7"/>
  <c r="B487" i="7"/>
  <c r="J488" i="7"/>
  <c r="I488" i="7"/>
  <c r="H488" i="7"/>
  <c r="F488" i="7"/>
  <c r="E488" i="7"/>
  <c r="D488" i="7"/>
  <c r="C488" i="7"/>
  <c r="B488" i="7"/>
  <c r="J489" i="7"/>
  <c r="I489" i="7"/>
  <c r="H489" i="7"/>
  <c r="F489" i="7"/>
  <c r="E489" i="7"/>
  <c r="D489" i="7"/>
  <c r="C489" i="7"/>
  <c r="B489" i="7"/>
  <c r="J490" i="7"/>
  <c r="I490" i="7"/>
  <c r="H490" i="7"/>
  <c r="F490" i="7"/>
  <c r="E490" i="7"/>
  <c r="D490" i="7"/>
  <c r="C490" i="7"/>
  <c r="B490" i="7"/>
  <c r="J491" i="7"/>
  <c r="I491" i="7"/>
  <c r="H491" i="7"/>
  <c r="F491" i="7"/>
  <c r="E491" i="7"/>
  <c r="D491" i="7"/>
  <c r="C491" i="7"/>
  <c r="B491" i="7"/>
  <c r="J492" i="7"/>
  <c r="I492" i="7"/>
  <c r="H492" i="7"/>
  <c r="F492" i="7"/>
  <c r="E492" i="7"/>
  <c r="D492" i="7"/>
  <c r="C492" i="7"/>
  <c r="B492" i="7"/>
  <c r="J493" i="7"/>
  <c r="I493" i="7"/>
  <c r="H493" i="7"/>
  <c r="F493" i="7"/>
  <c r="E493" i="7"/>
  <c r="D493" i="7"/>
  <c r="C493" i="7"/>
  <c r="B493" i="7"/>
  <c r="J494" i="7"/>
  <c r="I494" i="7"/>
  <c r="H494" i="7"/>
  <c r="F494" i="7"/>
  <c r="E494" i="7"/>
  <c r="D494" i="7"/>
  <c r="C494" i="7"/>
  <c r="B494" i="7"/>
  <c r="J495" i="7"/>
  <c r="I495" i="7"/>
  <c r="H495" i="7"/>
  <c r="F495" i="7"/>
  <c r="E495" i="7"/>
  <c r="D495" i="7"/>
  <c r="C495" i="7"/>
  <c r="B495" i="7"/>
  <c r="J496" i="7"/>
  <c r="I496" i="7"/>
  <c r="H496" i="7"/>
  <c r="F496" i="7"/>
  <c r="E496" i="7"/>
  <c r="D496" i="7"/>
  <c r="C496" i="7"/>
  <c r="B496" i="7"/>
  <c r="J497" i="7"/>
  <c r="I497" i="7"/>
  <c r="H497" i="7"/>
  <c r="F497" i="7"/>
  <c r="E497" i="7"/>
  <c r="D497" i="7"/>
  <c r="C497" i="7"/>
  <c r="B497" i="7"/>
  <c r="J498" i="7"/>
  <c r="I498" i="7"/>
  <c r="H498" i="7"/>
  <c r="F498" i="7"/>
  <c r="E498" i="7"/>
  <c r="D498" i="7"/>
  <c r="C498" i="7"/>
  <c r="B498" i="7"/>
  <c r="J499" i="7"/>
  <c r="I499" i="7"/>
  <c r="H499" i="7"/>
  <c r="F499" i="7"/>
  <c r="E499" i="7"/>
  <c r="D499" i="7"/>
  <c r="C499" i="7"/>
  <c r="B499" i="7"/>
  <c r="J500" i="7"/>
  <c r="I500" i="7"/>
  <c r="H500" i="7"/>
  <c r="F500" i="7"/>
  <c r="E500" i="7"/>
  <c r="D500" i="7"/>
  <c r="C500" i="7"/>
  <c r="B500" i="7"/>
  <c r="J501" i="7"/>
  <c r="I501" i="7"/>
  <c r="H501" i="7"/>
  <c r="F501" i="7"/>
  <c r="E501" i="7"/>
  <c r="D501" i="7"/>
  <c r="C501" i="7"/>
  <c r="B501" i="7"/>
  <c r="J502" i="7"/>
  <c r="I502" i="7"/>
  <c r="H502" i="7"/>
  <c r="F502" i="7"/>
  <c r="E502" i="7"/>
  <c r="D502" i="7"/>
  <c r="C502" i="7"/>
  <c r="B502" i="7"/>
  <c r="J503" i="7"/>
  <c r="I503" i="7"/>
  <c r="H503" i="7"/>
  <c r="F503" i="7"/>
  <c r="E503" i="7"/>
  <c r="D503" i="7"/>
  <c r="C503" i="7"/>
  <c r="B503" i="7"/>
  <c r="J504" i="7"/>
  <c r="I504" i="7"/>
  <c r="H504" i="7"/>
  <c r="F504" i="7"/>
  <c r="E504" i="7"/>
  <c r="D504" i="7"/>
  <c r="C504" i="7"/>
  <c r="B504" i="7"/>
  <c r="J505" i="7"/>
  <c r="I505" i="7"/>
  <c r="H505" i="7"/>
  <c r="F505" i="7"/>
  <c r="E505" i="7"/>
  <c r="D505" i="7"/>
  <c r="C505" i="7"/>
  <c r="B505" i="7"/>
  <c r="J506" i="7"/>
  <c r="I506" i="7"/>
  <c r="H506" i="7"/>
  <c r="F506" i="7"/>
  <c r="E506" i="7"/>
  <c r="D506" i="7"/>
  <c r="C506" i="7"/>
  <c r="B506" i="7"/>
  <c r="J507" i="7"/>
  <c r="I507" i="7"/>
  <c r="H507" i="7"/>
  <c r="F507" i="7"/>
  <c r="E507" i="7"/>
  <c r="D507" i="7"/>
  <c r="C507" i="7"/>
  <c r="B507" i="7"/>
  <c r="J508" i="7"/>
  <c r="I508" i="7"/>
  <c r="H508" i="7"/>
  <c r="F508" i="7"/>
  <c r="E508" i="7"/>
  <c r="D508" i="7"/>
  <c r="C508" i="7"/>
  <c r="B508" i="7"/>
  <c r="J509" i="7"/>
  <c r="I509" i="7"/>
  <c r="H509" i="7"/>
  <c r="F509" i="7"/>
  <c r="E509" i="7"/>
  <c r="D509" i="7"/>
  <c r="C509" i="7"/>
  <c r="B509" i="7"/>
  <c r="J510" i="7"/>
  <c r="I510" i="7"/>
  <c r="H510" i="7"/>
  <c r="F510" i="7"/>
  <c r="E510" i="7"/>
  <c r="D510" i="7"/>
  <c r="C510" i="7"/>
  <c r="B510" i="7"/>
  <c r="J511" i="7"/>
  <c r="I511" i="7"/>
  <c r="H511" i="7"/>
  <c r="F511" i="7"/>
  <c r="E511" i="7"/>
  <c r="D511" i="7"/>
  <c r="C511" i="7"/>
  <c r="B511" i="7"/>
  <c r="J512" i="7"/>
  <c r="I512" i="7"/>
  <c r="H512" i="7"/>
  <c r="F512" i="7"/>
  <c r="E512" i="7"/>
  <c r="D512" i="7"/>
  <c r="C512" i="7"/>
  <c r="B512" i="7"/>
  <c r="J513" i="7"/>
  <c r="I513" i="7"/>
  <c r="H513" i="7"/>
  <c r="F513" i="7"/>
  <c r="E513" i="7"/>
  <c r="D513" i="7"/>
  <c r="C513" i="7"/>
  <c r="B513" i="7"/>
  <c r="J514" i="7"/>
  <c r="I514" i="7"/>
  <c r="H514" i="7"/>
  <c r="F514" i="7"/>
  <c r="E514" i="7"/>
  <c r="D514" i="7"/>
  <c r="C514" i="7"/>
  <c r="B514" i="7"/>
  <c r="J515" i="7"/>
  <c r="I515" i="7"/>
  <c r="H515" i="7"/>
  <c r="F515" i="7"/>
  <c r="E515" i="7"/>
  <c r="D515" i="7"/>
  <c r="C515" i="7"/>
  <c r="B515" i="7"/>
  <c r="J516" i="7"/>
  <c r="I516" i="7"/>
  <c r="H516" i="7"/>
  <c r="F516" i="7"/>
  <c r="E516" i="7"/>
  <c r="D516" i="7"/>
  <c r="C516" i="7"/>
  <c r="B516" i="7"/>
  <c r="J517" i="7"/>
  <c r="I517" i="7"/>
  <c r="H517" i="7"/>
  <c r="F517" i="7"/>
  <c r="E517" i="7"/>
  <c r="D517" i="7"/>
  <c r="C517" i="7"/>
  <c r="B517" i="7"/>
  <c r="J518" i="7"/>
  <c r="I518" i="7"/>
  <c r="H518" i="7"/>
  <c r="F518" i="7"/>
  <c r="E518" i="7"/>
  <c r="D518" i="7"/>
  <c r="C518" i="7"/>
  <c r="B518" i="7"/>
  <c r="J519" i="7"/>
  <c r="I519" i="7"/>
  <c r="H519" i="7"/>
  <c r="F519" i="7"/>
  <c r="E519" i="7"/>
  <c r="D519" i="7"/>
  <c r="C519" i="7"/>
  <c r="B519" i="7"/>
  <c r="J520" i="7"/>
  <c r="I520" i="7"/>
  <c r="H520" i="7"/>
  <c r="F520" i="7"/>
  <c r="E520" i="7"/>
  <c r="D520" i="7"/>
  <c r="C520" i="7"/>
  <c r="B520" i="7"/>
  <c r="J521" i="7"/>
  <c r="I521" i="7"/>
  <c r="H521" i="7"/>
  <c r="F521" i="7"/>
  <c r="E521" i="7"/>
  <c r="D521" i="7"/>
  <c r="C521" i="7"/>
  <c r="B521" i="7"/>
  <c r="J522" i="7"/>
  <c r="I522" i="7"/>
  <c r="H522" i="7"/>
  <c r="F522" i="7"/>
  <c r="E522" i="7"/>
  <c r="D522" i="7"/>
  <c r="C522" i="7"/>
  <c r="B522" i="7"/>
  <c r="J523" i="7"/>
  <c r="I523" i="7"/>
  <c r="H523" i="7"/>
  <c r="F523" i="7"/>
  <c r="E523" i="7"/>
  <c r="D523" i="7"/>
  <c r="C523" i="7"/>
  <c r="B523" i="7"/>
  <c r="J524" i="7"/>
  <c r="I524" i="7"/>
  <c r="H524" i="7"/>
  <c r="F524" i="7"/>
  <c r="E524" i="7"/>
  <c r="D524" i="7"/>
  <c r="C524" i="7"/>
  <c r="B524" i="7"/>
  <c r="J525" i="7"/>
  <c r="I525" i="7"/>
  <c r="H525" i="7"/>
  <c r="F525" i="7"/>
  <c r="E525" i="7"/>
  <c r="D525" i="7"/>
  <c r="C525" i="7"/>
  <c r="B525" i="7"/>
  <c r="J526" i="7"/>
  <c r="I526" i="7"/>
  <c r="H526" i="7"/>
  <c r="F526" i="7"/>
  <c r="E526" i="7"/>
  <c r="D526" i="7"/>
  <c r="C526" i="7"/>
  <c r="B526" i="7"/>
  <c r="J527" i="7"/>
  <c r="I527" i="7"/>
  <c r="H527" i="7"/>
  <c r="F527" i="7"/>
  <c r="E527" i="7"/>
  <c r="D527" i="7"/>
  <c r="C527" i="7"/>
  <c r="B527" i="7"/>
  <c r="J528" i="7"/>
  <c r="I528" i="7"/>
  <c r="H528" i="7"/>
  <c r="F528" i="7"/>
  <c r="E528" i="7"/>
  <c r="D528" i="7"/>
  <c r="C528" i="7"/>
  <c r="B528" i="7"/>
  <c r="J529" i="7"/>
  <c r="I529" i="7"/>
  <c r="H529" i="7"/>
  <c r="F529" i="7"/>
  <c r="E529" i="7"/>
  <c r="D529" i="7"/>
  <c r="C529" i="7"/>
  <c r="B529" i="7"/>
  <c r="J530" i="7"/>
  <c r="I530" i="7"/>
  <c r="H530" i="7"/>
  <c r="F530" i="7"/>
  <c r="E530" i="7"/>
  <c r="D530" i="7"/>
  <c r="C530" i="7"/>
  <c r="B530" i="7"/>
  <c r="J531" i="7"/>
  <c r="I531" i="7"/>
  <c r="H531" i="7"/>
  <c r="F531" i="7"/>
  <c r="E531" i="7"/>
  <c r="D531" i="7"/>
  <c r="C531" i="7"/>
  <c r="B531" i="7"/>
  <c r="J532" i="7"/>
  <c r="I532" i="7"/>
  <c r="H532" i="7"/>
  <c r="F532" i="7"/>
  <c r="E532" i="7"/>
  <c r="D532" i="7"/>
  <c r="C532" i="7"/>
  <c r="B532" i="7"/>
  <c r="J533" i="7"/>
  <c r="I533" i="7"/>
  <c r="H533" i="7"/>
  <c r="F533" i="7"/>
  <c r="E533" i="7"/>
  <c r="D533" i="7"/>
  <c r="C533" i="7"/>
  <c r="B533" i="7"/>
  <c r="J534" i="7"/>
  <c r="I534" i="7"/>
  <c r="H534" i="7"/>
  <c r="F534" i="7"/>
  <c r="E534" i="7"/>
  <c r="D534" i="7"/>
  <c r="C534" i="7"/>
  <c r="B534" i="7"/>
  <c r="J535" i="7"/>
  <c r="I535" i="7"/>
  <c r="H535" i="7"/>
  <c r="F535" i="7"/>
  <c r="E535" i="7"/>
  <c r="D535" i="7"/>
  <c r="C535" i="7"/>
  <c r="B535" i="7"/>
  <c r="J536" i="7"/>
  <c r="I536" i="7"/>
  <c r="H536" i="7"/>
  <c r="F536" i="7"/>
  <c r="E536" i="7"/>
  <c r="D536" i="7"/>
  <c r="C536" i="7"/>
  <c r="B536" i="7"/>
  <c r="J537" i="7"/>
  <c r="I537" i="7"/>
  <c r="H537" i="7"/>
  <c r="F537" i="7"/>
  <c r="E537" i="7"/>
  <c r="D537" i="7"/>
  <c r="C537" i="7"/>
  <c r="B537" i="7"/>
  <c r="J538" i="7"/>
  <c r="I538" i="7"/>
  <c r="H538" i="7"/>
  <c r="F538" i="7"/>
  <c r="E538" i="7"/>
  <c r="D538" i="7"/>
  <c r="C538" i="7"/>
  <c r="B538" i="7"/>
  <c r="J539" i="7"/>
  <c r="I539" i="7"/>
  <c r="H539" i="7"/>
  <c r="F539" i="7"/>
  <c r="E539" i="7"/>
  <c r="D539" i="7"/>
  <c r="C539" i="7"/>
  <c r="B539" i="7"/>
  <c r="J540" i="7"/>
  <c r="I540" i="7"/>
  <c r="H540" i="7"/>
  <c r="F540" i="7"/>
  <c r="E540" i="7"/>
  <c r="D540" i="7"/>
  <c r="C540" i="7"/>
  <c r="B540" i="7"/>
  <c r="J541" i="7"/>
  <c r="I541" i="7"/>
  <c r="H541" i="7"/>
  <c r="F541" i="7"/>
  <c r="E541" i="7"/>
  <c r="D541" i="7"/>
  <c r="C541" i="7"/>
  <c r="B541" i="7"/>
  <c r="J542" i="7"/>
  <c r="I542" i="7"/>
  <c r="H542" i="7"/>
  <c r="F542" i="7"/>
  <c r="E542" i="7"/>
  <c r="D542" i="7"/>
  <c r="C542" i="7"/>
  <c r="B542" i="7"/>
  <c r="J543" i="7"/>
  <c r="I543" i="7"/>
  <c r="H543" i="7"/>
  <c r="F543" i="7"/>
  <c r="E543" i="7"/>
  <c r="D543" i="7"/>
  <c r="C543" i="7"/>
  <c r="B543" i="7"/>
  <c r="J544" i="7"/>
  <c r="I544" i="7"/>
  <c r="H544" i="7"/>
  <c r="F544" i="7"/>
  <c r="E544" i="7"/>
  <c r="D544" i="7"/>
  <c r="C544" i="7"/>
  <c r="B544" i="7"/>
  <c r="J545" i="7"/>
  <c r="I545" i="7"/>
  <c r="H545" i="7"/>
  <c r="F545" i="7"/>
  <c r="E545" i="7"/>
  <c r="D545" i="7"/>
  <c r="C545" i="7"/>
  <c r="B545" i="7"/>
  <c r="J546" i="7"/>
  <c r="I546" i="7"/>
  <c r="H546" i="7"/>
  <c r="F546" i="7"/>
  <c r="E546" i="7"/>
  <c r="D546" i="7"/>
  <c r="C546" i="7"/>
  <c r="B546" i="7"/>
  <c r="J547" i="7"/>
  <c r="I547" i="7"/>
  <c r="H547" i="7"/>
  <c r="F547" i="7"/>
  <c r="E547" i="7"/>
  <c r="D547" i="7"/>
  <c r="C547" i="7"/>
  <c r="B547" i="7"/>
  <c r="J548" i="7"/>
  <c r="I548" i="7"/>
  <c r="H548" i="7"/>
  <c r="F548" i="7"/>
  <c r="E548" i="7"/>
  <c r="D548" i="7"/>
  <c r="C548" i="7"/>
  <c r="B548" i="7"/>
  <c r="J549" i="7"/>
  <c r="I549" i="7"/>
  <c r="H549" i="7"/>
  <c r="F549" i="7"/>
  <c r="E549" i="7"/>
  <c r="D549" i="7"/>
  <c r="C549" i="7"/>
  <c r="B549" i="7"/>
  <c r="J550" i="7"/>
  <c r="I550" i="7"/>
  <c r="H550" i="7"/>
  <c r="F550" i="7"/>
  <c r="E550" i="7"/>
  <c r="D550" i="7"/>
  <c r="C550" i="7"/>
  <c r="B550" i="7"/>
  <c r="J551" i="7"/>
  <c r="I551" i="7"/>
  <c r="H551" i="7"/>
  <c r="F551" i="7"/>
  <c r="E551" i="7"/>
  <c r="D551" i="7"/>
  <c r="C551" i="7"/>
  <c r="B551" i="7"/>
  <c r="J552" i="7"/>
  <c r="I552" i="7"/>
  <c r="H552" i="7"/>
  <c r="F552" i="7"/>
  <c r="E552" i="7"/>
  <c r="D552" i="7"/>
  <c r="C552" i="7"/>
  <c r="B552" i="7"/>
  <c r="J553" i="7"/>
  <c r="I553" i="7"/>
  <c r="H553" i="7"/>
  <c r="F553" i="7"/>
  <c r="E553" i="7"/>
  <c r="D553" i="7"/>
  <c r="C553" i="7"/>
  <c r="B553" i="7"/>
  <c r="J554" i="7"/>
  <c r="I554" i="7"/>
  <c r="H554" i="7"/>
  <c r="F554" i="7"/>
  <c r="E554" i="7"/>
  <c r="D554" i="7"/>
  <c r="C554" i="7"/>
  <c r="B554" i="7"/>
  <c r="J555" i="7"/>
  <c r="I555" i="7"/>
  <c r="H555" i="7"/>
  <c r="F555" i="7"/>
  <c r="E555" i="7"/>
  <c r="D555" i="7"/>
  <c r="C555" i="7"/>
  <c r="B555" i="7"/>
  <c r="J556" i="7"/>
  <c r="I556" i="7"/>
  <c r="H556" i="7"/>
  <c r="F556" i="7"/>
  <c r="E556" i="7"/>
  <c r="D556" i="7"/>
  <c r="C556" i="7"/>
  <c r="B556" i="7"/>
  <c r="J557" i="7"/>
  <c r="I557" i="7"/>
  <c r="H557" i="7"/>
  <c r="F557" i="7"/>
  <c r="E557" i="7"/>
  <c r="D557" i="7"/>
  <c r="C557" i="7"/>
  <c r="B557" i="7"/>
  <c r="J558" i="7"/>
  <c r="I558" i="7"/>
  <c r="H558" i="7"/>
  <c r="F558" i="7"/>
  <c r="E558" i="7"/>
  <c r="D558" i="7"/>
  <c r="C558" i="7"/>
  <c r="B558" i="7"/>
  <c r="J559" i="7"/>
  <c r="I559" i="7"/>
  <c r="H559" i="7"/>
  <c r="F559" i="7"/>
  <c r="E559" i="7"/>
  <c r="D559" i="7"/>
  <c r="C559" i="7"/>
  <c r="B559" i="7"/>
  <c r="J560" i="7"/>
  <c r="I560" i="7"/>
  <c r="H560" i="7"/>
  <c r="F560" i="7"/>
  <c r="E560" i="7"/>
  <c r="D560" i="7"/>
  <c r="C560" i="7"/>
  <c r="B560" i="7"/>
  <c r="J561" i="7"/>
  <c r="I561" i="7"/>
  <c r="H561" i="7"/>
  <c r="F561" i="7"/>
  <c r="E561" i="7"/>
  <c r="D561" i="7"/>
  <c r="C561" i="7"/>
  <c r="B561" i="7"/>
  <c r="J562" i="7"/>
  <c r="I562" i="7"/>
  <c r="H562" i="7"/>
  <c r="F562" i="7"/>
  <c r="E562" i="7"/>
  <c r="D562" i="7"/>
  <c r="C562" i="7"/>
  <c r="B562" i="7"/>
  <c r="J563" i="7"/>
  <c r="I563" i="7"/>
  <c r="H563" i="7"/>
  <c r="F563" i="7"/>
  <c r="E563" i="7"/>
  <c r="D563" i="7"/>
  <c r="C563" i="7"/>
  <c r="B563" i="7"/>
  <c r="J564" i="7"/>
  <c r="I564" i="7"/>
  <c r="H564" i="7"/>
  <c r="F564" i="7"/>
  <c r="E564" i="7"/>
  <c r="D564" i="7"/>
  <c r="C564" i="7"/>
  <c r="B564" i="7"/>
  <c r="J565" i="7"/>
  <c r="I565" i="7"/>
  <c r="H565" i="7"/>
  <c r="F565" i="7"/>
  <c r="E565" i="7"/>
  <c r="D565" i="7"/>
  <c r="C565" i="7"/>
  <c r="B565" i="7"/>
  <c r="J566" i="7"/>
  <c r="I566" i="7"/>
  <c r="H566" i="7"/>
  <c r="F566" i="7"/>
  <c r="E566" i="7"/>
  <c r="D566" i="7"/>
  <c r="C566" i="7"/>
  <c r="B566" i="7"/>
  <c r="J567" i="7"/>
  <c r="I567" i="7"/>
  <c r="H567" i="7"/>
  <c r="F567" i="7"/>
  <c r="E567" i="7"/>
  <c r="D567" i="7"/>
  <c r="C567" i="7"/>
  <c r="B567" i="7"/>
  <c r="J568" i="7"/>
  <c r="I568" i="7"/>
  <c r="H568" i="7"/>
  <c r="F568" i="7"/>
  <c r="E568" i="7"/>
  <c r="D568" i="7"/>
  <c r="C568" i="7"/>
  <c r="B568" i="7"/>
  <c r="J569" i="7"/>
  <c r="I569" i="7"/>
  <c r="H569" i="7"/>
  <c r="F569" i="7"/>
  <c r="E569" i="7"/>
  <c r="D569" i="7"/>
  <c r="C569" i="7"/>
  <c r="B569" i="7"/>
  <c r="J570" i="7"/>
  <c r="I570" i="7"/>
  <c r="H570" i="7"/>
  <c r="F570" i="7"/>
  <c r="E570" i="7"/>
  <c r="D570" i="7"/>
  <c r="C570" i="7"/>
  <c r="B570" i="7"/>
  <c r="J571" i="7"/>
  <c r="I571" i="7"/>
  <c r="H571" i="7"/>
  <c r="F571" i="7"/>
  <c r="E571" i="7"/>
  <c r="D571" i="7"/>
  <c r="C571" i="7"/>
  <c r="B571" i="7"/>
  <c r="J572" i="7"/>
  <c r="I572" i="7"/>
  <c r="H572" i="7"/>
  <c r="F572" i="7"/>
  <c r="E572" i="7"/>
  <c r="D572" i="7"/>
  <c r="C572" i="7"/>
  <c r="B572" i="7"/>
  <c r="J573" i="7"/>
  <c r="I573" i="7"/>
  <c r="H573" i="7"/>
  <c r="F573" i="7"/>
  <c r="E573" i="7"/>
  <c r="D573" i="7"/>
  <c r="C573" i="7"/>
  <c r="B573" i="7"/>
  <c r="J574" i="7"/>
  <c r="I574" i="7"/>
  <c r="H574" i="7"/>
  <c r="F574" i="7"/>
  <c r="E574" i="7"/>
  <c r="D574" i="7"/>
  <c r="C574" i="7"/>
  <c r="B574" i="7"/>
  <c r="J575" i="7"/>
  <c r="I575" i="7"/>
  <c r="H575" i="7"/>
  <c r="F575" i="7"/>
  <c r="E575" i="7"/>
  <c r="D575" i="7"/>
  <c r="C575" i="7"/>
  <c r="B575" i="7"/>
  <c r="J576" i="7"/>
  <c r="I576" i="7"/>
  <c r="H576" i="7"/>
  <c r="F576" i="7"/>
  <c r="E576" i="7"/>
  <c r="D576" i="7"/>
  <c r="C576" i="7"/>
  <c r="B576" i="7"/>
  <c r="J577" i="7"/>
  <c r="I577" i="7"/>
  <c r="H577" i="7"/>
  <c r="F577" i="7"/>
  <c r="E577" i="7"/>
  <c r="D577" i="7"/>
  <c r="C577" i="7"/>
  <c r="B577" i="7"/>
  <c r="J578" i="7"/>
  <c r="I578" i="7"/>
  <c r="H578" i="7"/>
  <c r="F578" i="7"/>
  <c r="E578" i="7"/>
  <c r="D578" i="7"/>
  <c r="C578" i="7"/>
  <c r="B578" i="7"/>
  <c r="J579" i="7"/>
  <c r="I579" i="7"/>
  <c r="H579" i="7"/>
  <c r="F579" i="7"/>
  <c r="E579" i="7"/>
  <c r="D579" i="7"/>
  <c r="C579" i="7"/>
  <c r="B579" i="7"/>
  <c r="J580" i="7"/>
  <c r="I580" i="7"/>
  <c r="H580" i="7"/>
  <c r="F580" i="7"/>
  <c r="E580" i="7"/>
  <c r="D580" i="7"/>
  <c r="C580" i="7"/>
  <c r="B580" i="7"/>
  <c r="J581" i="7"/>
  <c r="I581" i="7"/>
  <c r="H581" i="7"/>
  <c r="F581" i="7"/>
  <c r="E581" i="7"/>
  <c r="D581" i="7"/>
  <c r="C581" i="7"/>
  <c r="B581" i="7"/>
  <c r="J582" i="7"/>
  <c r="I582" i="7"/>
  <c r="H582" i="7"/>
  <c r="F582" i="7"/>
  <c r="E582" i="7"/>
  <c r="D582" i="7"/>
  <c r="C582" i="7"/>
  <c r="B582" i="7"/>
  <c r="J583" i="7"/>
  <c r="I583" i="7"/>
  <c r="H583" i="7"/>
  <c r="F583" i="7"/>
  <c r="E583" i="7"/>
  <c r="D583" i="7"/>
  <c r="C583" i="7"/>
  <c r="B583" i="7"/>
  <c r="J584" i="7"/>
  <c r="I584" i="7"/>
  <c r="H584" i="7"/>
  <c r="F584" i="7"/>
  <c r="E584" i="7"/>
  <c r="D584" i="7"/>
  <c r="C584" i="7"/>
  <c r="B584" i="7"/>
  <c r="J585" i="7"/>
  <c r="I585" i="7"/>
  <c r="H585" i="7"/>
  <c r="F585" i="7"/>
  <c r="E585" i="7"/>
  <c r="D585" i="7"/>
  <c r="C585" i="7"/>
  <c r="B585" i="7"/>
  <c r="J586" i="7"/>
  <c r="I586" i="7"/>
  <c r="H586" i="7"/>
  <c r="F586" i="7"/>
  <c r="E586" i="7"/>
  <c r="D586" i="7"/>
  <c r="C586" i="7"/>
  <c r="B586" i="7"/>
  <c r="J587" i="7"/>
  <c r="I587" i="7"/>
  <c r="H587" i="7"/>
  <c r="F587" i="7"/>
  <c r="E587" i="7"/>
  <c r="D587" i="7"/>
  <c r="C587" i="7"/>
  <c r="B587" i="7"/>
  <c r="J588" i="7"/>
  <c r="I588" i="7"/>
  <c r="H588" i="7"/>
  <c r="F588" i="7"/>
  <c r="E588" i="7"/>
  <c r="D588" i="7"/>
  <c r="C588" i="7"/>
  <c r="B588" i="7"/>
  <c r="J589" i="7"/>
  <c r="I589" i="7"/>
  <c r="H589" i="7"/>
  <c r="F589" i="7"/>
  <c r="E589" i="7"/>
  <c r="D589" i="7"/>
  <c r="C589" i="7"/>
  <c r="B589" i="7"/>
  <c r="J590" i="7"/>
  <c r="I590" i="7"/>
  <c r="H590" i="7"/>
  <c r="F590" i="7"/>
  <c r="E590" i="7"/>
  <c r="D590" i="7"/>
  <c r="C590" i="7"/>
  <c r="B590" i="7"/>
  <c r="J591" i="7"/>
  <c r="I591" i="7"/>
  <c r="H591" i="7"/>
  <c r="F591" i="7"/>
  <c r="E591" i="7"/>
  <c r="D591" i="7"/>
  <c r="C591" i="7"/>
  <c r="B591" i="7"/>
  <c r="J592" i="7"/>
  <c r="I592" i="7"/>
  <c r="H592" i="7"/>
  <c r="F592" i="7"/>
  <c r="E592" i="7"/>
  <c r="D592" i="7"/>
  <c r="C592" i="7"/>
  <c r="B592" i="7"/>
  <c r="J593" i="7"/>
  <c r="I593" i="7"/>
  <c r="H593" i="7"/>
  <c r="F593" i="7"/>
  <c r="E593" i="7"/>
  <c r="D593" i="7"/>
  <c r="C593" i="7"/>
  <c r="B593" i="7"/>
  <c r="J594" i="7"/>
  <c r="I594" i="7"/>
  <c r="H594" i="7"/>
  <c r="F594" i="7"/>
  <c r="E594" i="7"/>
  <c r="D594" i="7"/>
  <c r="C594" i="7"/>
  <c r="B594" i="7"/>
  <c r="J595" i="7"/>
  <c r="I595" i="7"/>
  <c r="H595" i="7"/>
  <c r="F595" i="7"/>
  <c r="E595" i="7"/>
  <c r="D595" i="7"/>
  <c r="C595" i="7"/>
  <c r="B595" i="7"/>
  <c r="J596" i="7"/>
  <c r="I596" i="7"/>
  <c r="H596" i="7"/>
  <c r="F596" i="7"/>
  <c r="E596" i="7"/>
  <c r="D596" i="7"/>
  <c r="C596" i="7"/>
  <c r="B596" i="7"/>
  <c r="J597" i="7"/>
  <c r="I597" i="7"/>
  <c r="H597" i="7"/>
  <c r="F597" i="7"/>
  <c r="E597" i="7"/>
  <c r="D597" i="7"/>
  <c r="C597" i="7"/>
  <c r="B597" i="7"/>
  <c r="J598" i="7"/>
  <c r="I598" i="7"/>
  <c r="H598" i="7"/>
  <c r="F598" i="7"/>
  <c r="E598" i="7"/>
  <c r="D598" i="7"/>
  <c r="C598" i="7"/>
  <c r="B598" i="7"/>
  <c r="J599" i="7"/>
  <c r="I599" i="7"/>
  <c r="H599" i="7"/>
  <c r="F599" i="7"/>
  <c r="E599" i="7"/>
  <c r="D599" i="7"/>
  <c r="C599" i="7"/>
  <c r="B599" i="7"/>
  <c r="J600" i="7"/>
  <c r="I600" i="7"/>
  <c r="H600" i="7"/>
  <c r="F600" i="7"/>
  <c r="E600" i="7"/>
  <c r="D600" i="7"/>
  <c r="C600" i="7"/>
  <c r="B600" i="7"/>
  <c r="J601" i="7"/>
  <c r="I601" i="7"/>
  <c r="H601" i="7"/>
  <c r="F601" i="7"/>
  <c r="E601" i="7"/>
  <c r="D601" i="7"/>
  <c r="C601" i="7"/>
  <c r="B601" i="7"/>
  <c r="J602" i="7"/>
  <c r="I602" i="7"/>
  <c r="H602" i="7"/>
  <c r="F602" i="7"/>
  <c r="E602" i="7"/>
  <c r="D602" i="7"/>
  <c r="C602" i="7"/>
  <c r="B602" i="7"/>
  <c r="J603" i="7"/>
  <c r="I603" i="7"/>
  <c r="H603" i="7"/>
  <c r="F603" i="7"/>
  <c r="E603" i="7"/>
  <c r="D603" i="7"/>
  <c r="C603" i="7"/>
  <c r="B603" i="7"/>
  <c r="J604" i="7"/>
  <c r="I604" i="7"/>
  <c r="H604" i="7"/>
  <c r="F604" i="7"/>
  <c r="E604" i="7"/>
  <c r="D604" i="7"/>
  <c r="C604" i="7"/>
  <c r="B604" i="7"/>
  <c r="J605" i="7"/>
  <c r="I605" i="7"/>
  <c r="H605" i="7"/>
  <c r="F605" i="7"/>
  <c r="E605" i="7"/>
  <c r="D605" i="7"/>
  <c r="C605" i="7"/>
  <c r="B605" i="7"/>
  <c r="E11" i="3"/>
  <c r="B15" i="1"/>
  <c r="D6" i="7" l="1"/>
  <c r="B32" i="4"/>
  <c r="E9" i="3" s="1"/>
  <c r="E16" i="1"/>
  <c r="B19" i="3"/>
  <c r="E8" i="3"/>
  <c r="B22" i="1"/>
  <c r="B19" i="1"/>
  <c r="B14" i="1"/>
  <c r="B35" i="4"/>
  <c r="E10" i="3" s="1"/>
  <c r="E6" i="7" l="1"/>
  <c r="F6" i="7" s="1"/>
  <c r="H6" i="7" s="1"/>
  <c r="I6" i="7" l="1"/>
  <c r="C7" i="7" s="1"/>
  <c r="J6" i="7"/>
  <c r="D7" i="7" l="1"/>
  <c r="E7" i="7" l="1"/>
  <c r="F7" i="7" s="1"/>
  <c r="H7" i="7" s="1"/>
  <c r="I7" i="7" l="1"/>
  <c r="C8" i="7" s="1"/>
  <c r="J7" i="7"/>
  <c r="D8" i="7" l="1"/>
  <c r="E8" i="7" l="1"/>
  <c r="F8" i="7" s="1"/>
  <c r="H8" i="7" s="1"/>
  <c r="I8" i="7" l="1"/>
  <c r="C9" i="7" s="1"/>
  <c r="J8" i="7"/>
  <c r="D9" i="7" l="1"/>
  <c r="E9" i="7" l="1"/>
  <c r="F9" i="7" s="1"/>
  <c r="H9" i="7" s="1"/>
  <c r="I9" i="7" l="1"/>
  <c r="C10" i="7" s="1"/>
  <c r="J9" i="7"/>
  <c r="D10" i="7" l="1"/>
  <c r="E10" i="7" l="1"/>
  <c r="F10" i="7" s="1"/>
  <c r="H10" i="7" s="1"/>
  <c r="I10" i="7" l="1"/>
  <c r="C11" i="7" s="1"/>
  <c r="J10" i="7"/>
  <c r="D11" i="7" l="1"/>
  <c r="E11" i="7" l="1"/>
  <c r="F11" i="7" s="1"/>
  <c r="H11" i="7" s="1"/>
  <c r="I11" i="7" l="1"/>
  <c r="C12" i="7" s="1"/>
  <c r="J11" i="7"/>
  <c r="D12" i="7" l="1"/>
  <c r="E12" i="7" l="1"/>
  <c r="F12" i="7" s="1"/>
  <c r="H12" i="7" s="1"/>
  <c r="I12" i="7" l="1"/>
  <c r="C13" i="7" s="1"/>
  <c r="J12" i="7"/>
  <c r="D13" i="7" l="1"/>
  <c r="E13" i="7" l="1"/>
  <c r="F13" i="7" s="1"/>
  <c r="H13" i="7" s="1"/>
  <c r="I13" i="7" l="1"/>
  <c r="C14" i="7" s="1"/>
  <c r="J13" i="7"/>
  <c r="D14" i="7" l="1"/>
  <c r="E14" i="7" l="1"/>
  <c r="F14" i="7" s="1"/>
  <c r="H14" i="7" s="1"/>
  <c r="I14" i="7" l="1"/>
  <c r="C15" i="7" s="1"/>
  <c r="J14" i="7"/>
  <c r="D15" i="7" l="1"/>
  <c r="E15" i="7" l="1"/>
  <c r="F15" i="7" s="1"/>
  <c r="H15" i="7" s="1"/>
  <c r="I15" i="7" l="1"/>
  <c r="C16" i="7" s="1"/>
  <c r="J15" i="7"/>
  <c r="D16" i="7" l="1"/>
  <c r="E16" i="7" l="1"/>
  <c r="F16" i="7" s="1"/>
  <c r="H16" i="7" s="1"/>
  <c r="I16" i="7" l="1"/>
  <c r="C17" i="7" s="1"/>
  <c r="J16" i="7"/>
  <c r="D17" i="7" l="1"/>
  <c r="E17" i="7" l="1"/>
  <c r="F17" i="7" s="1"/>
  <c r="H17" i="7" s="1"/>
  <c r="I17" i="7" l="1"/>
  <c r="C18" i="7" s="1"/>
  <c r="J17" i="7"/>
  <c r="D18" i="7" l="1"/>
  <c r="E18" i="7" l="1"/>
  <c r="F18" i="7" s="1"/>
  <c r="H18" i="7" s="1"/>
  <c r="I18" i="7" l="1"/>
  <c r="C19" i="7" s="1"/>
  <c r="J18" i="7"/>
  <c r="D19" i="7" l="1"/>
  <c r="E19" i="7" l="1"/>
  <c r="F19" i="7" s="1"/>
  <c r="H19" i="7" s="1"/>
  <c r="I19" i="7" l="1"/>
  <c r="C20" i="7" s="1"/>
  <c r="J19" i="7"/>
  <c r="D20" i="7" l="1"/>
  <c r="E20" i="7" l="1"/>
  <c r="F20" i="7" s="1"/>
  <c r="H20" i="7" s="1"/>
  <c r="I20" i="7" l="1"/>
  <c r="C21" i="7" s="1"/>
  <c r="J20" i="7"/>
  <c r="D21" i="7" l="1"/>
  <c r="E21" i="7" l="1"/>
  <c r="F21" i="7" s="1"/>
  <c r="H21" i="7" s="1"/>
  <c r="I21" i="7" l="1"/>
  <c r="C22" i="7" s="1"/>
  <c r="J21" i="7"/>
  <c r="D22" i="7" l="1"/>
  <c r="E22" i="7" l="1"/>
  <c r="F22" i="7" s="1"/>
  <c r="H22" i="7" s="1"/>
  <c r="I22" i="7" l="1"/>
  <c r="C23" i="7" s="1"/>
  <c r="J22" i="7"/>
  <c r="D23" i="7" l="1"/>
  <c r="E23" i="7" l="1"/>
  <c r="F23" i="7" s="1"/>
  <c r="H23" i="7" s="1"/>
  <c r="I23" i="7" l="1"/>
  <c r="C24" i="7" s="1"/>
  <c r="J23" i="7"/>
  <c r="D24" i="7" l="1"/>
  <c r="E24" i="7" l="1"/>
  <c r="F24" i="7" s="1"/>
  <c r="H24" i="7" s="1"/>
  <c r="I24" i="7" l="1"/>
  <c r="C25" i="7" s="1"/>
  <c r="J24" i="7"/>
  <c r="D25" i="7" l="1"/>
  <c r="E25" i="7" l="1"/>
  <c r="F25" i="7" s="1"/>
  <c r="H25" i="7" s="1"/>
  <c r="I25" i="7" l="1"/>
  <c r="C26" i="7" s="1"/>
  <c r="J25" i="7"/>
  <c r="D26" i="7" l="1"/>
  <c r="E26" i="7" l="1"/>
  <c r="F26" i="7" s="1"/>
  <c r="H26" i="7" s="1"/>
  <c r="I26" i="7" l="1"/>
  <c r="C27" i="7" s="1"/>
  <c r="J26" i="7"/>
  <c r="D27" i="7" l="1"/>
  <c r="E27" i="7" l="1"/>
  <c r="F27" i="7" s="1"/>
  <c r="H27" i="7" s="1"/>
  <c r="I27" i="7" l="1"/>
  <c r="C28" i="7" s="1"/>
  <c r="J27" i="7"/>
  <c r="D28" i="7" l="1"/>
  <c r="E28" i="7" l="1"/>
  <c r="F28" i="7" s="1"/>
  <c r="H28" i="7" s="1"/>
  <c r="I28" i="7" l="1"/>
  <c r="C29" i="7" s="1"/>
  <c r="J28" i="7"/>
  <c r="D29" i="7" l="1"/>
  <c r="E29" i="7" l="1"/>
  <c r="F29" i="7" s="1"/>
  <c r="H29" i="7" s="1"/>
  <c r="I29" i="7" l="1"/>
  <c r="C30" i="7" s="1"/>
  <c r="J29" i="7"/>
  <c r="D30" i="7" l="1"/>
  <c r="E30" i="7" l="1"/>
  <c r="F30" i="7" s="1"/>
  <c r="H30" i="7" s="1"/>
  <c r="I30" i="7" l="1"/>
  <c r="C31" i="7" s="1"/>
  <c r="J30" i="7"/>
  <c r="D31" i="7" l="1"/>
  <c r="E31" i="7" l="1"/>
  <c r="F31" i="7" s="1"/>
  <c r="H31" i="7" s="1"/>
  <c r="I31" i="7" l="1"/>
  <c r="C32" i="7" s="1"/>
  <c r="J31" i="7"/>
  <c r="D32" i="7" l="1"/>
  <c r="E32" i="7" l="1"/>
  <c r="F32" i="7" s="1"/>
  <c r="H32" i="7" s="1"/>
  <c r="I32" i="7" l="1"/>
  <c r="C33" i="7" s="1"/>
  <c r="J32" i="7"/>
  <c r="D33" i="7" l="1"/>
  <c r="E33" i="7" l="1"/>
  <c r="F33" i="7" s="1"/>
  <c r="H33" i="7" s="1"/>
  <c r="I33" i="7" l="1"/>
  <c r="C34" i="7" s="1"/>
  <c r="J33" i="7"/>
  <c r="D34" i="7" l="1"/>
  <c r="E34" i="7" l="1"/>
  <c r="F34" i="7" s="1"/>
  <c r="H34" i="7" s="1"/>
  <c r="I34" i="7" l="1"/>
  <c r="C35" i="7" s="1"/>
  <c r="J34" i="7"/>
  <c r="D35" i="7" l="1"/>
  <c r="E35" i="7" l="1"/>
  <c r="F35" i="7" s="1"/>
  <c r="H35" i="7" s="1"/>
  <c r="I35" i="7" l="1"/>
  <c r="C36" i="7" s="1"/>
  <c r="J35" i="7"/>
  <c r="D36" i="7" l="1"/>
  <c r="E36" i="7" l="1"/>
  <c r="F36" i="7" s="1"/>
  <c r="H36" i="7" s="1"/>
  <c r="I36" i="7" l="1"/>
  <c r="C37" i="7" s="1"/>
  <c r="J36" i="7"/>
  <c r="D37" i="7" l="1"/>
  <c r="E37" i="7" l="1"/>
  <c r="F37" i="7" s="1"/>
  <c r="H37" i="7" s="1"/>
  <c r="I37" i="7" l="1"/>
  <c r="C38" i="7" s="1"/>
  <c r="J37" i="7"/>
  <c r="D38" i="7" l="1"/>
  <c r="E38" i="7" l="1"/>
  <c r="F38" i="7" s="1"/>
  <c r="H38" i="7" s="1"/>
  <c r="I38" i="7" l="1"/>
  <c r="C39" i="7" s="1"/>
  <c r="J38" i="7"/>
  <c r="D39" i="7" l="1"/>
  <c r="E39" i="7" l="1"/>
  <c r="F39" i="7" s="1"/>
  <c r="H39" i="7" s="1"/>
  <c r="I39" i="7" l="1"/>
  <c r="C40" i="7" s="1"/>
  <c r="J39" i="7"/>
  <c r="D40" i="7" l="1"/>
  <c r="E40" i="7" l="1"/>
  <c r="F40" i="7" s="1"/>
  <c r="H40" i="7" s="1"/>
  <c r="I40" i="7" l="1"/>
  <c r="C41" i="7" s="1"/>
  <c r="J40" i="7"/>
  <c r="D41" i="7" l="1"/>
  <c r="E41" i="7" l="1"/>
  <c r="F41" i="7" s="1"/>
  <c r="H41" i="7" s="1"/>
  <c r="I41" i="7" l="1"/>
  <c r="C42" i="7" s="1"/>
  <c r="J41" i="7"/>
  <c r="D42" i="7" l="1"/>
  <c r="E42" i="7" l="1"/>
  <c r="F42" i="7" s="1"/>
  <c r="H42" i="7" s="1"/>
  <c r="I42" i="7" l="1"/>
  <c r="C43" i="7" s="1"/>
  <c r="J42" i="7"/>
  <c r="D43" i="7" l="1"/>
  <c r="E43" i="7" l="1"/>
  <c r="F43" i="7" s="1"/>
  <c r="H43" i="7" s="1"/>
  <c r="I43" i="7" l="1"/>
  <c r="C44" i="7" s="1"/>
  <c r="J43" i="7"/>
  <c r="D44" i="7" l="1"/>
  <c r="E44" i="7" l="1"/>
  <c r="F44" i="7" s="1"/>
  <c r="H44" i="7" s="1"/>
  <c r="I44" i="7" l="1"/>
  <c r="C45" i="7" s="1"/>
  <c r="J44" i="7"/>
  <c r="D45" i="7" l="1"/>
  <c r="E45" i="7" l="1"/>
  <c r="F45" i="7" s="1"/>
  <c r="H45" i="7" s="1"/>
  <c r="I45" i="7" l="1"/>
  <c r="C46" i="7" s="1"/>
  <c r="J45" i="7"/>
  <c r="D46" i="7" l="1"/>
  <c r="E46" i="7" l="1"/>
  <c r="F46" i="7" s="1"/>
  <c r="H46" i="7" s="1"/>
  <c r="I46" i="7" l="1"/>
  <c r="C47" i="7" s="1"/>
  <c r="J46" i="7"/>
  <c r="D47" i="7" l="1"/>
  <c r="E47" i="7" l="1"/>
  <c r="F47" i="7" s="1"/>
  <c r="H47" i="7" s="1"/>
  <c r="I47" i="7" l="1"/>
  <c r="C48" i="7" s="1"/>
  <c r="J47" i="7"/>
  <c r="D48" i="7" l="1"/>
  <c r="E48" i="7" l="1"/>
  <c r="F48" i="7" s="1"/>
  <c r="H48" i="7" s="1"/>
  <c r="I48" i="7" l="1"/>
  <c r="C49" i="7" s="1"/>
  <c r="J48" i="7"/>
  <c r="D49" i="7" l="1"/>
  <c r="E49" i="7" l="1"/>
  <c r="F49" i="7" s="1"/>
  <c r="H49" i="7" s="1"/>
  <c r="I49" i="7" l="1"/>
  <c r="C50" i="7" s="1"/>
  <c r="J49" i="7"/>
  <c r="D50" i="7" l="1"/>
  <c r="E50" i="7" l="1"/>
  <c r="F50" i="7" s="1"/>
  <c r="H50" i="7" s="1"/>
  <c r="I50" i="7" l="1"/>
  <c r="C51" i="7" s="1"/>
  <c r="J50" i="7"/>
  <c r="D51" i="7" l="1"/>
  <c r="E51" i="7" l="1"/>
  <c r="F51" i="7" s="1"/>
  <c r="H51" i="7" s="1"/>
  <c r="I51" i="7" l="1"/>
  <c r="C52" i="7" s="1"/>
  <c r="J51" i="7"/>
  <c r="D52" i="7" l="1"/>
  <c r="E52" i="7" l="1"/>
  <c r="F52" i="7" s="1"/>
  <c r="H52" i="7" s="1"/>
  <c r="I52" i="7" l="1"/>
  <c r="C53" i="7" s="1"/>
  <c r="J52" i="7"/>
  <c r="D53" i="7" l="1"/>
  <c r="E53" i="7" l="1"/>
  <c r="F53" i="7" s="1"/>
  <c r="H53" i="7" s="1"/>
  <c r="I53" i="7" l="1"/>
  <c r="C54" i="7" s="1"/>
  <c r="J53" i="7"/>
  <c r="D54" i="7" l="1"/>
  <c r="E54" i="7" l="1"/>
  <c r="F54" i="7" s="1"/>
  <c r="H54" i="7" s="1"/>
  <c r="I54" i="7" l="1"/>
  <c r="C55" i="7" s="1"/>
  <c r="J54" i="7"/>
  <c r="D55" i="7" l="1"/>
  <c r="E55" i="7" l="1"/>
  <c r="F55" i="7" s="1"/>
  <c r="H55" i="7" s="1"/>
  <c r="I55" i="7" l="1"/>
  <c r="C56" i="7" s="1"/>
  <c r="J55" i="7"/>
  <c r="D56" i="7" l="1"/>
  <c r="E56" i="7" l="1"/>
  <c r="F56" i="7" s="1"/>
  <c r="H56" i="7" s="1"/>
  <c r="I56" i="7" l="1"/>
  <c r="C57" i="7" s="1"/>
  <c r="J56" i="7"/>
  <c r="D57" i="7" l="1"/>
  <c r="E57" i="7" l="1"/>
  <c r="F57" i="7" s="1"/>
  <c r="H57" i="7" s="1"/>
  <c r="I57" i="7" l="1"/>
  <c r="C58" i="7" s="1"/>
  <c r="J57" i="7"/>
  <c r="D58" i="7" l="1"/>
  <c r="E58" i="7" l="1"/>
  <c r="F58" i="7" s="1"/>
  <c r="H58" i="7" s="1"/>
  <c r="I58" i="7" l="1"/>
  <c r="C59" i="7" s="1"/>
  <c r="J58" i="7"/>
  <c r="D59" i="7" l="1"/>
  <c r="E59" i="7" l="1"/>
  <c r="F59" i="7" s="1"/>
  <c r="H59" i="7" s="1"/>
  <c r="I59" i="7" l="1"/>
  <c r="C60" i="7" s="1"/>
  <c r="J59" i="7"/>
  <c r="D60" i="7" l="1"/>
  <c r="E60" i="7" l="1"/>
  <c r="F60" i="7" s="1"/>
  <c r="H60" i="7" s="1"/>
  <c r="I60" i="7" l="1"/>
  <c r="C61" i="7" s="1"/>
  <c r="J60" i="7"/>
  <c r="D61" i="7" l="1"/>
  <c r="E61" i="7" l="1"/>
  <c r="F61" i="7" s="1"/>
  <c r="H61" i="7" s="1"/>
  <c r="I61" i="7" l="1"/>
  <c r="C62" i="7" s="1"/>
  <c r="J61" i="7"/>
  <c r="D62" i="7" l="1"/>
  <c r="E62" i="7" l="1"/>
  <c r="F62" i="7" s="1"/>
  <c r="H62" i="7" s="1"/>
  <c r="I62" i="7" l="1"/>
  <c r="C63" i="7" s="1"/>
  <c r="J62" i="7"/>
  <c r="D63" i="7" l="1"/>
  <c r="E63" i="7" l="1"/>
  <c r="F63" i="7" s="1"/>
  <c r="H63" i="7" s="1"/>
  <c r="I63" i="7" l="1"/>
  <c r="C64" i="7" s="1"/>
  <c r="J63" i="7"/>
  <c r="D64" i="7" l="1"/>
  <c r="E64" i="7" l="1"/>
  <c r="F64" i="7" s="1"/>
  <c r="H64" i="7" s="1"/>
  <c r="I64" i="7" l="1"/>
  <c r="C65" i="7" s="1"/>
  <c r="J64" i="7"/>
  <c r="D65" i="7" l="1"/>
  <c r="E65" i="7" l="1"/>
  <c r="F65" i="7" s="1"/>
  <c r="H65" i="7" s="1"/>
  <c r="I65" i="7" l="1"/>
  <c r="C66" i="7" s="1"/>
  <c r="J65" i="7"/>
  <c r="D66" i="7" l="1"/>
  <c r="E66" i="7" l="1"/>
  <c r="F66" i="7" s="1"/>
  <c r="H66" i="7" s="1"/>
  <c r="I66" i="7" l="1"/>
  <c r="C67" i="7" s="1"/>
  <c r="J66" i="7"/>
  <c r="D67" i="7" l="1"/>
  <c r="E67" i="7" l="1"/>
  <c r="F67" i="7" s="1"/>
  <c r="H67" i="7" s="1"/>
  <c r="I67" i="7" l="1"/>
  <c r="C68" i="7" s="1"/>
  <c r="J67" i="7"/>
  <c r="D68" i="7" l="1"/>
  <c r="E68" i="7" l="1"/>
  <c r="F68" i="7" s="1"/>
  <c r="H68" i="7" s="1"/>
  <c r="I68" i="7" l="1"/>
  <c r="C69" i="7" s="1"/>
  <c r="J68" i="7"/>
  <c r="D69" i="7" l="1"/>
  <c r="E69" i="7" l="1"/>
  <c r="F69" i="7" s="1"/>
  <c r="H69" i="7" s="1"/>
  <c r="I69" i="7" l="1"/>
  <c r="C70" i="7" s="1"/>
  <c r="J69" i="7"/>
  <c r="D70" i="7" l="1"/>
  <c r="E70" i="7" l="1"/>
  <c r="F70" i="7" s="1"/>
  <c r="H70" i="7" s="1"/>
  <c r="I70" i="7" l="1"/>
  <c r="C71" i="7" s="1"/>
  <c r="J70" i="7"/>
  <c r="D71" i="7" l="1"/>
  <c r="E71" i="7" l="1"/>
  <c r="F71" i="7" s="1"/>
  <c r="H71" i="7" s="1"/>
  <c r="I71" i="7" l="1"/>
  <c r="C72" i="7" s="1"/>
  <c r="J71" i="7"/>
  <c r="D72" i="7" l="1"/>
  <c r="E72" i="7" l="1"/>
  <c r="F72" i="7" s="1"/>
  <c r="H72" i="7" s="1"/>
  <c r="I72" i="7" l="1"/>
  <c r="C73" i="7" s="1"/>
  <c r="J72" i="7"/>
  <c r="D73" i="7" l="1"/>
  <c r="E73" i="7" l="1"/>
  <c r="F73" i="7" s="1"/>
  <c r="H73" i="7" s="1"/>
  <c r="I73" i="7" l="1"/>
  <c r="C74" i="7" s="1"/>
  <c r="J73" i="7"/>
  <c r="D74" i="7" l="1"/>
  <c r="E74" i="7" l="1"/>
  <c r="F74" i="7" s="1"/>
  <c r="H74" i="7" s="1"/>
  <c r="I74" i="7" l="1"/>
  <c r="C75" i="7" s="1"/>
  <c r="J74" i="7"/>
  <c r="D75" i="7" l="1"/>
  <c r="E75" i="7" l="1"/>
  <c r="F75" i="7" s="1"/>
  <c r="H75" i="7" s="1"/>
  <c r="I75" i="7" l="1"/>
  <c r="C76" i="7" s="1"/>
  <c r="J75" i="7"/>
  <c r="D76" i="7" l="1"/>
  <c r="E76" i="7" l="1"/>
  <c r="F76" i="7" s="1"/>
  <c r="H76" i="7" s="1"/>
  <c r="I76" i="7" l="1"/>
  <c r="C77" i="7" s="1"/>
  <c r="J76" i="7"/>
  <c r="D77" i="7" l="1"/>
  <c r="E77" i="7" l="1"/>
  <c r="F77" i="7" s="1"/>
  <c r="H77" i="7" s="1"/>
  <c r="I77" i="7" l="1"/>
  <c r="C78" i="7" s="1"/>
  <c r="J77" i="7"/>
  <c r="D78" i="7" l="1"/>
  <c r="E78" i="7" l="1"/>
  <c r="F78" i="7" s="1"/>
  <c r="H78" i="7" s="1"/>
  <c r="I78" i="7" l="1"/>
  <c r="C79" i="7" s="1"/>
  <c r="J78" i="7"/>
  <c r="D79" i="7" l="1"/>
  <c r="E79" i="7" l="1"/>
  <c r="F79" i="7" s="1"/>
  <c r="H79" i="7" s="1"/>
  <c r="I79" i="7" l="1"/>
  <c r="C80" i="7" s="1"/>
  <c r="J79" i="7"/>
  <c r="D80" i="7" l="1"/>
  <c r="E80" i="7" l="1"/>
  <c r="F80" i="7" s="1"/>
  <c r="H80" i="7" s="1"/>
  <c r="I80" i="7" l="1"/>
  <c r="C81" i="7" s="1"/>
  <c r="J80" i="7"/>
  <c r="D81" i="7" l="1"/>
  <c r="E81" i="7" l="1"/>
  <c r="F81" i="7" s="1"/>
  <c r="H81" i="7" s="1"/>
  <c r="I81" i="7" l="1"/>
  <c r="C82" i="7" s="1"/>
  <c r="J81" i="7"/>
  <c r="D82" i="7" l="1"/>
  <c r="E82" i="7" l="1"/>
  <c r="F82" i="7" s="1"/>
  <c r="H82" i="7" s="1"/>
  <c r="I82" i="7" l="1"/>
  <c r="C83" i="7" s="1"/>
  <c r="J82" i="7"/>
  <c r="D83" i="7" l="1"/>
  <c r="E83" i="7" l="1"/>
  <c r="F83" i="7" s="1"/>
  <c r="H83" i="7" s="1"/>
  <c r="I83" i="7" l="1"/>
  <c r="C84" i="7" s="1"/>
  <c r="J83" i="7"/>
  <c r="D84" i="7" l="1"/>
  <c r="E84" i="7" l="1"/>
  <c r="F84" i="7" s="1"/>
  <c r="H84" i="7" s="1"/>
  <c r="I84" i="7" l="1"/>
  <c r="C85" i="7" s="1"/>
  <c r="J84" i="7"/>
  <c r="D85" i="7" l="1"/>
  <c r="E85" i="7" l="1"/>
  <c r="F85" i="7" s="1"/>
  <c r="H85" i="7" s="1"/>
  <c r="I85" i="7" l="1"/>
  <c r="C86" i="7" s="1"/>
  <c r="J85" i="7"/>
  <c r="D86" i="7" l="1"/>
  <c r="E86" i="7" l="1"/>
  <c r="F86" i="7" s="1"/>
  <c r="H86" i="7" s="1"/>
  <c r="I86" i="7" l="1"/>
  <c r="C87" i="7" s="1"/>
  <c r="J86" i="7"/>
  <c r="D87" i="7" l="1"/>
  <c r="E87" i="7" l="1"/>
  <c r="F87" i="7" s="1"/>
  <c r="H87" i="7" s="1"/>
  <c r="I87" i="7" l="1"/>
  <c r="C88" i="7" s="1"/>
  <c r="J87" i="7"/>
  <c r="D88" i="7" l="1"/>
  <c r="E88" i="7" l="1"/>
  <c r="F88" i="7" s="1"/>
  <c r="H88" i="7" s="1"/>
  <c r="I88" i="7" l="1"/>
  <c r="C89" i="7" s="1"/>
  <c r="J88" i="7"/>
  <c r="D89" i="7" l="1"/>
  <c r="E89" i="7" l="1"/>
  <c r="F89" i="7" s="1"/>
  <c r="H89" i="7" s="1"/>
  <c r="I89" i="7" l="1"/>
  <c r="C90" i="7" s="1"/>
  <c r="J89" i="7"/>
  <c r="D90" i="7" l="1"/>
  <c r="E90" i="7" l="1"/>
  <c r="F90" i="7" s="1"/>
  <c r="H90" i="7" s="1"/>
  <c r="I90" i="7" l="1"/>
  <c r="C91" i="7" s="1"/>
  <c r="J90" i="7"/>
  <c r="D91" i="7" l="1"/>
  <c r="E91" i="7" l="1"/>
  <c r="F91" i="7" s="1"/>
  <c r="H91" i="7" s="1"/>
  <c r="I91" i="7" l="1"/>
  <c r="C92" i="7" s="1"/>
  <c r="J91" i="7"/>
  <c r="D92" i="7" l="1"/>
  <c r="E92" i="7" l="1"/>
  <c r="F92" i="7" s="1"/>
  <c r="H92" i="7" s="1"/>
  <c r="I92" i="7" l="1"/>
  <c r="C93" i="7" s="1"/>
  <c r="J92" i="7"/>
  <c r="D93" i="7" l="1"/>
  <c r="E93" i="7" l="1"/>
  <c r="F93" i="7" s="1"/>
  <c r="H93" i="7" s="1"/>
  <c r="I93" i="7" l="1"/>
  <c r="C94" i="7" s="1"/>
  <c r="J93" i="7"/>
  <c r="D94" i="7" l="1"/>
  <c r="E94" i="7" l="1"/>
  <c r="F94" i="7" s="1"/>
  <c r="H94" i="7" s="1"/>
  <c r="I94" i="7" l="1"/>
  <c r="C95" i="7" s="1"/>
  <c r="J94" i="7"/>
  <c r="D95" i="7" l="1"/>
  <c r="E95" i="7" l="1"/>
  <c r="F95" i="7" s="1"/>
  <c r="H95" i="7" s="1"/>
  <c r="I95" i="7" l="1"/>
  <c r="C96" i="7" s="1"/>
  <c r="J95" i="7"/>
  <c r="D96" i="7" l="1"/>
  <c r="E96" i="7" l="1"/>
  <c r="F96" i="7" s="1"/>
  <c r="H96" i="7" s="1"/>
  <c r="I96" i="7" l="1"/>
  <c r="C97" i="7" s="1"/>
  <c r="J96" i="7"/>
  <c r="D97" i="7" l="1"/>
  <c r="E97" i="7" l="1"/>
  <c r="F97" i="7" s="1"/>
  <c r="H97" i="7" s="1"/>
  <c r="I97" i="7" l="1"/>
  <c r="C98" i="7" s="1"/>
  <c r="J97" i="7"/>
  <c r="D98" i="7" l="1"/>
  <c r="E98" i="7" l="1"/>
  <c r="F98" i="7" s="1"/>
  <c r="H98" i="7" s="1"/>
  <c r="I98" i="7" l="1"/>
  <c r="C99" i="7" s="1"/>
  <c r="J98" i="7"/>
  <c r="D99" i="7" l="1"/>
  <c r="E99" i="7" l="1"/>
  <c r="F99" i="7" s="1"/>
  <c r="H99" i="7" s="1"/>
  <c r="I99" i="7" l="1"/>
  <c r="C100" i="7" s="1"/>
  <c r="J99" i="7"/>
  <c r="D100" i="7" l="1"/>
  <c r="E100" i="7" l="1"/>
  <c r="F100" i="7" s="1"/>
  <c r="H100" i="7" s="1"/>
  <c r="I100" i="7" l="1"/>
  <c r="C101" i="7" s="1"/>
  <c r="J100" i="7"/>
  <c r="D101" i="7" l="1"/>
  <c r="E101" i="7" l="1"/>
  <c r="F101" i="7" s="1"/>
  <c r="H101" i="7" s="1"/>
  <c r="I101" i="7" l="1"/>
  <c r="C102" i="7" s="1"/>
  <c r="J101" i="7"/>
  <c r="D102" i="7" l="1"/>
  <c r="E102" i="7" l="1"/>
  <c r="F102" i="7" s="1"/>
  <c r="H102" i="7" s="1"/>
  <c r="I102" i="7" l="1"/>
  <c r="C103" i="7" s="1"/>
  <c r="J102" i="7"/>
  <c r="D103" i="7" l="1"/>
  <c r="E103" i="7" l="1"/>
  <c r="F103" i="7" s="1"/>
  <c r="H103" i="7" s="1"/>
  <c r="I103" i="7" l="1"/>
  <c r="C104" i="7" s="1"/>
  <c r="J103" i="7"/>
  <c r="D104" i="7" l="1"/>
  <c r="E104" i="7" l="1"/>
  <c r="F104" i="7" s="1"/>
  <c r="H104" i="7" s="1"/>
  <c r="I104" i="7" l="1"/>
  <c r="C105" i="7" s="1"/>
  <c r="J104" i="7"/>
  <c r="D105" i="7" l="1"/>
  <c r="E105" i="7" l="1"/>
  <c r="F105" i="7" s="1"/>
  <c r="H105" i="7" s="1"/>
  <c r="I105" i="7" l="1"/>
  <c r="C106" i="7" s="1"/>
  <c r="J105" i="7"/>
  <c r="D106" i="7" l="1"/>
  <c r="E106" i="7" l="1"/>
  <c r="F106" i="7" s="1"/>
  <c r="H106" i="7" s="1"/>
  <c r="I106" i="7" l="1"/>
  <c r="C107" i="7" s="1"/>
  <c r="J106" i="7"/>
  <c r="D107" i="7" l="1"/>
  <c r="E107" i="7" l="1"/>
  <c r="F107" i="7" s="1"/>
  <c r="H107" i="7" s="1"/>
  <c r="I107" i="7" l="1"/>
  <c r="C108" i="7" s="1"/>
  <c r="J107" i="7"/>
  <c r="D108" i="7" l="1"/>
  <c r="E108" i="7" l="1"/>
  <c r="F108" i="7" s="1"/>
  <c r="H108" i="7" s="1"/>
  <c r="I108" i="7" l="1"/>
  <c r="C109" i="7" s="1"/>
  <c r="J108" i="7"/>
  <c r="D109" i="7" l="1"/>
  <c r="E109" i="7" l="1"/>
  <c r="F109" i="7" s="1"/>
  <c r="H109" i="7" s="1"/>
  <c r="I109" i="7" l="1"/>
  <c r="C110" i="7" s="1"/>
  <c r="J109" i="7"/>
  <c r="D110" i="7" l="1"/>
  <c r="E110" i="7" l="1"/>
  <c r="F110" i="7" s="1"/>
  <c r="H110" i="7" s="1"/>
  <c r="I110" i="7" l="1"/>
  <c r="C111" i="7" s="1"/>
  <c r="J110" i="7"/>
  <c r="D111" i="7" l="1"/>
  <c r="E111" i="7" l="1"/>
  <c r="F111" i="7" s="1"/>
  <c r="H111" i="7" s="1"/>
  <c r="I111" i="7" l="1"/>
  <c r="C112" i="7" s="1"/>
  <c r="J111" i="7"/>
  <c r="D112" i="7" l="1"/>
  <c r="E112" i="7" l="1"/>
  <c r="F112" i="7" s="1"/>
  <c r="H112" i="7" s="1"/>
  <c r="I112" i="7" l="1"/>
  <c r="C113" i="7" s="1"/>
  <c r="J112" i="7"/>
  <c r="D113" i="7" l="1"/>
  <c r="E113" i="7" l="1"/>
  <c r="F113" i="7" s="1"/>
  <c r="H113" i="7" s="1"/>
  <c r="I113" i="7" l="1"/>
  <c r="C114" i="7" s="1"/>
  <c r="J113" i="7"/>
  <c r="D114" i="7" l="1"/>
  <c r="E114" i="7" l="1"/>
  <c r="F114" i="7" s="1"/>
  <c r="H114" i="7" s="1"/>
  <c r="I114" i="7" l="1"/>
  <c r="C115" i="7" s="1"/>
  <c r="J114" i="7"/>
  <c r="D115" i="7" l="1"/>
  <c r="E115" i="7" l="1"/>
  <c r="F115" i="7" s="1"/>
  <c r="H115" i="7" s="1"/>
  <c r="I115" i="7" l="1"/>
  <c r="C116" i="7" s="1"/>
  <c r="J115" i="7"/>
  <c r="D116" i="7" l="1"/>
  <c r="E116" i="7" l="1"/>
  <c r="F116" i="7" s="1"/>
  <c r="H116" i="7" s="1"/>
  <c r="I116" i="7" l="1"/>
  <c r="C117" i="7" s="1"/>
  <c r="J116" i="7"/>
  <c r="D117" i="7" l="1"/>
  <c r="E117" i="7" l="1"/>
  <c r="F117" i="7" s="1"/>
  <c r="H117" i="7" s="1"/>
  <c r="I117" i="7" l="1"/>
  <c r="C118" i="7" s="1"/>
  <c r="J117" i="7"/>
  <c r="D118" i="7" l="1"/>
  <c r="E118" i="7" l="1"/>
  <c r="F118" i="7" s="1"/>
  <c r="H118" i="7" s="1"/>
  <c r="I118" i="7" l="1"/>
  <c r="C119" i="7" s="1"/>
  <c r="J118" i="7"/>
  <c r="D119" i="7" l="1"/>
  <c r="E119" i="7" l="1"/>
  <c r="F119" i="7" s="1"/>
  <c r="H119" i="7" s="1"/>
  <c r="I119" i="7" l="1"/>
  <c r="C120" i="7" s="1"/>
  <c r="J119" i="7"/>
  <c r="D120" i="7" l="1"/>
  <c r="E120" i="7" l="1"/>
  <c r="F120" i="7" s="1"/>
  <c r="H120" i="7" s="1"/>
  <c r="I120" i="7" l="1"/>
  <c r="C121" i="7" s="1"/>
  <c r="J120" i="7"/>
  <c r="D121" i="7" l="1"/>
  <c r="E121" i="7" l="1"/>
  <c r="F121" i="7" s="1"/>
  <c r="H121" i="7" s="1"/>
  <c r="I121" i="7" l="1"/>
  <c r="C122" i="7" s="1"/>
  <c r="J121" i="7"/>
  <c r="D122" i="7" l="1"/>
  <c r="E122" i="7" l="1"/>
  <c r="F122" i="7" s="1"/>
  <c r="H122" i="7" s="1"/>
  <c r="I122" i="7" l="1"/>
  <c r="C123" i="7" s="1"/>
  <c r="J122" i="7"/>
  <c r="D123" i="7" l="1"/>
  <c r="E123" i="7" l="1"/>
  <c r="F123" i="7" s="1"/>
  <c r="H123" i="7" s="1"/>
  <c r="I123" i="7" l="1"/>
  <c r="C124" i="7" s="1"/>
  <c r="J123" i="7"/>
  <c r="D124" i="7" l="1"/>
  <c r="E124" i="7" l="1"/>
  <c r="F124" i="7" s="1"/>
  <c r="H124" i="7" s="1"/>
  <c r="I124" i="7" l="1"/>
  <c r="C125" i="7" s="1"/>
  <c r="J124" i="7"/>
  <c r="D125" i="7" l="1"/>
  <c r="E125" i="7" l="1"/>
  <c r="F125" i="7" s="1"/>
  <c r="H125" i="7" s="1"/>
  <c r="I125" i="7" l="1"/>
  <c r="C126" i="7" s="1"/>
  <c r="J125" i="7"/>
  <c r="D126" i="7" l="1"/>
  <c r="E126" i="7" l="1"/>
  <c r="F126" i="7" s="1"/>
  <c r="H126" i="7" s="1"/>
  <c r="I126" i="7" l="1"/>
  <c r="C127" i="7" s="1"/>
  <c r="J126" i="7"/>
  <c r="D127" i="7" l="1"/>
  <c r="E127" i="7" l="1"/>
  <c r="F127" i="7" s="1"/>
  <c r="H127" i="7" s="1"/>
  <c r="I127" i="7" l="1"/>
  <c r="C128" i="7" s="1"/>
  <c r="J127" i="7"/>
  <c r="D128" i="7" l="1"/>
  <c r="E128" i="7" l="1"/>
  <c r="F128" i="7" s="1"/>
  <c r="H128" i="7" s="1"/>
  <c r="I128" i="7" l="1"/>
  <c r="C129" i="7" s="1"/>
  <c r="J128" i="7"/>
  <c r="D129" i="7" l="1"/>
  <c r="E129" i="7" l="1"/>
  <c r="F129" i="7" s="1"/>
  <c r="H129" i="7" s="1"/>
  <c r="I129" i="7" l="1"/>
  <c r="C130" i="7" s="1"/>
  <c r="J129" i="7"/>
  <c r="D130" i="7" l="1"/>
  <c r="E130" i="7" l="1"/>
  <c r="F130" i="7" s="1"/>
  <c r="H130" i="7" s="1"/>
  <c r="I130" i="7" l="1"/>
  <c r="C131" i="7" s="1"/>
  <c r="J130" i="7"/>
  <c r="D131" i="7" l="1"/>
  <c r="E131" i="7" l="1"/>
  <c r="F131" i="7" s="1"/>
  <c r="H131" i="7" s="1"/>
  <c r="I131" i="7" l="1"/>
  <c r="C132" i="7" s="1"/>
  <c r="J131" i="7"/>
  <c r="D132" i="7" l="1"/>
  <c r="E132" i="7" l="1"/>
  <c r="F132" i="7" s="1"/>
  <c r="H132" i="7" s="1"/>
  <c r="I132" i="7" l="1"/>
  <c r="C133" i="7" s="1"/>
  <c r="J132" i="7"/>
  <c r="D133" i="7" l="1"/>
  <c r="E133" i="7" l="1"/>
  <c r="F133" i="7" s="1"/>
  <c r="H133" i="7" s="1"/>
  <c r="I133" i="7" l="1"/>
  <c r="C134" i="7" s="1"/>
  <c r="J133" i="7"/>
  <c r="D134" i="7" l="1"/>
  <c r="E134" i="7" l="1"/>
  <c r="F134" i="7" s="1"/>
  <c r="H134" i="7" s="1"/>
  <c r="I134" i="7" l="1"/>
  <c r="C135" i="7" s="1"/>
  <c r="J134" i="7"/>
  <c r="D135" i="7" l="1"/>
  <c r="E135" i="7" l="1"/>
  <c r="F135" i="7" s="1"/>
  <c r="H135" i="7" s="1"/>
  <c r="I135" i="7" l="1"/>
  <c r="C136" i="7" s="1"/>
  <c r="J135" i="7"/>
  <c r="D136" i="7" l="1"/>
  <c r="E136" i="7" l="1"/>
  <c r="F136" i="7" s="1"/>
  <c r="H136" i="7" s="1"/>
  <c r="I136" i="7" l="1"/>
  <c r="C137" i="7" s="1"/>
  <c r="J136" i="7"/>
  <c r="D137" i="7" l="1"/>
  <c r="E137" i="7" l="1"/>
  <c r="F137" i="7" s="1"/>
  <c r="H137" i="7" s="1"/>
  <c r="I137" i="7" l="1"/>
  <c r="C138" i="7" s="1"/>
  <c r="J137" i="7"/>
  <c r="D138" i="7" l="1"/>
  <c r="E138" i="7" l="1"/>
  <c r="F138" i="7" s="1"/>
  <c r="H138" i="7" s="1"/>
  <c r="I138" i="7" l="1"/>
  <c r="C139" i="7" s="1"/>
  <c r="J138" i="7"/>
  <c r="D139" i="7" l="1"/>
  <c r="E139" i="7" l="1"/>
  <c r="F139" i="7" s="1"/>
  <c r="H139" i="7" s="1"/>
  <c r="I139" i="7" l="1"/>
  <c r="C140" i="7" s="1"/>
  <c r="J139" i="7"/>
  <c r="D140" i="7" l="1"/>
  <c r="E140" i="7" l="1"/>
  <c r="F140" i="7" s="1"/>
  <c r="H140" i="7" s="1"/>
  <c r="I140" i="7" l="1"/>
  <c r="C141" i="7" s="1"/>
  <c r="J140" i="7"/>
  <c r="D141" i="7" l="1"/>
  <c r="E141" i="7" l="1"/>
  <c r="F141" i="7" s="1"/>
  <c r="H141" i="7" s="1"/>
  <c r="I141" i="7" l="1"/>
  <c r="C142" i="7" s="1"/>
  <c r="J141" i="7"/>
  <c r="D142" i="7" l="1"/>
  <c r="E142" i="7" l="1"/>
  <c r="F142" i="7" s="1"/>
  <c r="H142" i="7" s="1"/>
  <c r="I142" i="7" l="1"/>
  <c r="C143" i="7" s="1"/>
  <c r="J142" i="7"/>
  <c r="D143" i="7" l="1"/>
  <c r="E143" i="7" l="1"/>
  <c r="F143" i="7" s="1"/>
  <c r="H143" i="7" s="1"/>
  <c r="I143" i="7" l="1"/>
  <c r="C144" i="7" s="1"/>
  <c r="J143" i="7"/>
  <c r="D144" i="7" l="1"/>
  <c r="E144" i="7" l="1"/>
  <c r="F144" i="7" s="1"/>
  <c r="H144" i="7" s="1"/>
  <c r="I144" i="7" l="1"/>
  <c r="C145" i="7" s="1"/>
  <c r="J144" i="7"/>
  <c r="D145" i="7" l="1"/>
  <c r="E145" i="7" l="1"/>
  <c r="F145" i="7" s="1"/>
  <c r="H145" i="7" s="1"/>
  <c r="I145" i="7" l="1"/>
  <c r="C146" i="7" s="1"/>
  <c r="J145" i="7"/>
  <c r="D146" i="7" l="1"/>
  <c r="E146" i="7" l="1"/>
  <c r="F146" i="7" s="1"/>
  <c r="H146" i="7" s="1"/>
  <c r="I146" i="7" l="1"/>
  <c r="C147" i="7" s="1"/>
  <c r="J146" i="7"/>
  <c r="D147" i="7" l="1"/>
  <c r="E147" i="7" l="1"/>
  <c r="F147" i="7" s="1"/>
  <c r="H147" i="7" s="1"/>
  <c r="I147" i="7" l="1"/>
  <c r="C148" i="7" s="1"/>
  <c r="J147" i="7"/>
  <c r="D148" i="7" l="1"/>
  <c r="E148" i="7" l="1"/>
  <c r="F148" i="7" s="1"/>
  <c r="H148" i="7" s="1"/>
  <c r="I148" i="7" l="1"/>
  <c r="C149" i="7" s="1"/>
  <c r="J148" i="7"/>
  <c r="D149" i="7" l="1"/>
  <c r="E149" i="7" l="1"/>
  <c r="F149" i="7" s="1"/>
  <c r="H149" i="7" s="1"/>
  <c r="I149" i="7" l="1"/>
  <c r="C150" i="7" s="1"/>
  <c r="J149" i="7"/>
  <c r="D150" i="7" l="1"/>
  <c r="E150" i="7" l="1"/>
  <c r="F150" i="7" s="1"/>
  <c r="H150" i="7" s="1"/>
  <c r="I150" i="7" l="1"/>
  <c r="C151" i="7" s="1"/>
  <c r="J150" i="7"/>
  <c r="D151" i="7" l="1"/>
  <c r="E151" i="7" l="1"/>
  <c r="F151" i="7" s="1"/>
  <c r="H151" i="7" s="1"/>
  <c r="I151" i="7" l="1"/>
  <c r="C152" i="7" s="1"/>
  <c r="J151" i="7"/>
  <c r="D152" i="7" l="1"/>
  <c r="E152" i="7" l="1"/>
  <c r="F152" i="7" s="1"/>
  <c r="H152" i="7" s="1"/>
  <c r="I152" i="7" l="1"/>
  <c r="C153" i="7" s="1"/>
  <c r="J152" i="7"/>
  <c r="D153" i="7" l="1"/>
  <c r="E153" i="7" l="1"/>
  <c r="F153" i="7" s="1"/>
  <c r="H153" i="7" s="1"/>
  <c r="I153" i="7" l="1"/>
  <c r="C154" i="7" s="1"/>
  <c r="J153" i="7"/>
  <c r="D154" i="7" l="1"/>
  <c r="E154" i="7" l="1"/>
  <c r="F154" i="7" s="1"/>
  <c r="H154" i="7" s="1"/>
  <c r="I154" i="7" l="1"/>
  <c r="C155" i="7" s="1"/>
  <c r="J154" i="7"/>
  <c r="D155" i="7" l="1"/>
  <c r="E155" i="7" l="1"/>
  <c r="F155" i="7" s="1"/>
  <c r="H155" i="7" s="1"/>
  <c r="I155" i="7" l="1"/>
  <c r="C156" i="7" s="1"/>
  <c r="J155" i="7"/>
  <c r="D156" i="7" l="1"/>
  <c r="E156" i="7" l="1"/>
  <c r="F156" i="7" s="1"/>
  <c r="H156" i="7" s="1"/>
  <c r="I156" i="7" l="1"/>
  <c r="C157" i="7" s="1"/>
  <c r="J156" i="7"/>
  <c r="D157" i="7" l="1"/>
  <c r="E157" i="7" l="1"/>
  <c r="F157" i="7" s="1"/>
  <c r="H157" i="7" s="1"/>
  <c r="I157" i="7" l="1"/>
  <c r="C158" i="7" s="1"/>
  <c r="J157" i="7"/>
  <c r="D158" i="7" l="1"/>
  <c r="E158" i="7" l="1"/>
  <c r="F158" i="7" s="1"/>
  <c r="H158" i="7" s="1"/>
  <c r="I158" i="7" l="1"/>
  <c r="C159" i="7" s="1"/>
  <c r="J158" i="7"/>
  <c r="D159" i="7" l="1"/>
  <c r="E159" i="7" l="1"/>
  <c r="F159" i="7" s="1"/>
  <c r="H159" i="7" s="1"/>
  <c r="I159" i="7" l="1"/>
  <c r="C160" i="7" s="1"/>
  <c r="J159" i="7"/>
  <c r="D160" i="7" l="1"/>
  <c r="E160" i="7" l="1"/>
  <c r="F160" i="7" s="1"/>
  <c r="H160" i="7" s="1"/>
  <c r="I160" i="7" l="1"/>
  <c r="C161" i="7" s="1"/>
  <c r="J160" i="7"/>
  <c r="D161" i="7" l="1"/>
  <c r="E161" i="7" l="1"/>
  <c r="F161" i="7" s="1"/>
  <c r="H161" i="7" s="1"/>
  <c r="I161" i="7" l="1"/>
  <c r="C162" i="7" s="1"/>
  <c r="J161" i="7"/>
  <c r="D162" i="7" l="1"/>
  <c r="E162" i="7" l="1"/>
  <c r="F162" i="7" s="1"/>
  <c r="H162" i="7" s="1"/>
  <c r="I162" i="7" l="1"/>
  <c r="C163" i="7" s="1"/>
  <c r="J162" i="7"/>
  <c r="D163" i="7" l="1"/>
  <c r="E163" i="7" l="1"/>
  <c r="F163" i="7" s="1"/>
  <c r="H163" i="7" s="1"/>
  <c r="I163" i="7" l="1"/>
  <c r="C164" i="7" s="1"/>
  <c r="J163" i="7"/>
  <c r="D164" i="7" l="1"/>
  <c r="E164" i="7" l="1"/>
  <c r="F164" i="7" s="1"/>
  <c r="H164" i="7" s="1"/>
  <c r="I164" i="7" l="1"/>
  <c r="C165" i="7" s="1"/>
  <c r="J164" i="7"/>
  <c r="D165" i="7" l="1"/>
  <c r="E165" i="7" l="1"/>
  <c r="F165" i="7" s="1"/>
  <c r="H165" i="7" s="1"/>
  <c r="I165" i="7" l="1"/>
  <c r="C166" i="7" s="1"/>
  <c r="J165" i="7"/>
  <c r="D166" i="7" l="1"/>
  <c r="E166" i="7" l="1"/>
  <c r="F166" i="7" s="1"/>
  <c r="H166" i="7" s="1"/>
  <c r="I166" i="7" l="1"/>
  <c r="C167" i="7" s="1"/>
  <c r="J166" i="7"/>
  <c r="D167" i="7" l="1"/>
  <c r="E167" i="7" l="1"/>
  <c r="F167" i="7" s="1"/>
  <c r="H167" i="7" s="1"/>
  <c r="I167" i="7" l="1"/>
  <c r="C168" i="7" s="1"/>
  <c r="J167" i="7"/>
  <c r="D168" i="7" l="1"/>
  <c r="E168" i="7" l="1"/>
  <c r="F168" i="7" s="1"/>
  <c r="H168" i="7" s="1"/>
  <c r="I168" i="7" l="1"/>
  <c r="C169" i="7" s="1"/>
  <c r="J168" i="7"/>
  <c r="D169" i="7" l="1"/>
  <c r="E169" i="7" l="1"/>
  <c r="F169" i="7" s="1"/>
  <c r="H169" i="7" s="1"/>
  <c r="I169" i="7" l="1"/>
  <c r="C170" i="7" s="1"/>
  <c r="J169" i="7"/>
  <c r="D170" i="7" l="1"/>
  <c r="E170" i="7" l="1"/>
  <c r="F170" i="7" s="1"/>
  <c r="H170" i="7" s="1"/>
  <c r="I170" i="7" l="1"/>
  <c r="C171" i="7" s="1"/>
  <c r="J170" i="7"/>
  <c r="D171" i="7" l="1"/>
  <c r="E171" i="7" l="1"/>
  <c r="F171" i="7" s="1"/>
  <c r="H171" i="7" s="1"/>
  <c r="I171" i="7" l="1"/>
  <c r="C172" i="7" s="1"/>
  <c r="J171" i="7"/>
  <c r="D172" i="7" l="1"/>
  <c r="E172" i="7" l="1"/>
  <c r="F172" i="7" s="1"/>
  <c r="H172" i="7" s="1"/>
  <c r="I172" i="7" l="1"/>
  <c r="C173" i="7" s="1"/>
  <c r="J172" i="7"/>
  <c r="D173" i="7" l="1"/>
  <c r="E173" i="7" l="1"/>
  <c r="F173" i="7" s="1"/>
  <c r="H173" i="7" s="1"/>
  <c r="I173" i="7" l="1"/>
  <c r="C174" i="7" s="1"/>
  <c r="J173" i="7"/>
  <c r="D174" i="7" l="1"/>
  <c r="E174" i="7" l="1"/>
  <c r="F174" i="7" s="1"/>
  <c r="H174" i="7" s="1"/>
  <c r="I174" i="7" l="1"/>
  <c r="C175" i="7" s="1"/>
  <c r="J174" i="7"/>
  <c r="D175" i="7" l="1"/>
  <c r="E175" i="7" l="1"/>
  <c r="F175" i="7" s="1"/>
  <c r="H175" i="7" s="1"/>
  <c r="I175" i="7" l="1"/>
  <c r="C176" i="7" s="1"/>
  <c r="J175" i="7"/>
  <c r="D176" i="7" l="1"/>
  <c r="E176" i="7" l="1"/>
  <c r="F176" i="7" s="1"/>
  <c r="H176" i="7" s="1"/>
  <c r="I176" i="7" l="1"/>
  <c r="C177" i="7" s="1"/>
  <c r="J176" i="7"/>
  <c r="D177" i="7" l="1"/>
  <c r="E177" i="7" l="1"/>
  <c r="F177" i="7" s="1"/>
  <c r="H177" i="7" s="1"/>
  <c r="I177" i="7" l="1"/>
  <c r="C178" i="7" s="1"/>
  <c r="J177" i="7"/>
  <c r="D178" i="7" l="1"/>
  <c r="E178" i="7" l="1"/>
  <c r="F178" i="7" s="1"/>
  <c r="H178" i="7" s="1"/>
  <c r="I178" i="7" l="1"/>
  <c r="C179" i="7" s="1"/>
  <c r="J178" i="7"/>
  <c r="D179" i="7" l="1"/>
  <c r="E179" i="7" l="1"/>
  <c r="F179" i="7" s="1"/>
  <c r="H179" i="7" s="1"/>
  <c r="I179" i="7" l="1"/>
  <c r="C180" i="7" s="1"/>
  <c r="J179" i="7"/>
  <c r="D180" i="7" l="1"/>
  <c r="E180" i="7" l="1"/>
  <c r="F180" i="7" s="1"/>
  <c r="H180" i="7" s="1"/>
  <c r="I180" i="7" l="1"/>
  <c r="C181" i="7" s="1"/>
  <c r="J180" i="7"/>
  <c r="D181" i="7" l="1"/>
  <c r="E181" i="7" l="1"/>
  <c r="F181" i="7" s="1"/>
  <c r="H181" i="7" s="1"/>
  <c r="I181" i="7" l="1"/>
  <c r="C182" i="7" s="1"/>
  <c r="J181" i="7"/>
  <c r="D182" i="7" l="1"/>
  <c r="E182" i="7" l="1"/>
  <c r="F182" i="7" s="1"/>
  <c r="H182" i="7" s="1"/>
  <c r="I182" i="7" l="1"/>
  <c r="C183" i="7" s="1"/>
  <c r="J182" i="7"/>
  <c r="D183" i="7" l="1"/>
  <c r="E183" i="7" l="1"/>
  <c r="F183" i="7" s="1"/>
  <c r="H183" i="7" s="1"/>
  <c r="I183" i="7" l="1"/>
  <c r="C184" i="7" s="1"/>
  <c r="J183" i="7"/>
  <c r="D184" i="7" l="1"/>
  <c r="E184" i="7" l="1"/>
  <c r="F184" i="7" s="1"/>
  <c r="H184" i="7" s="1"/>
  <c r="I184" i="7" l="1"/>
  <c r="C185" i="7" s="1"/>
  <c r="J184" i="7"/>
  <c r="D185" i="7" l="1"/>
  <c r="E185" i="7" l="1"/>
  <c r="F185" i="7" s="1"/>
  <c r="H185" i="7" s="1"/>
  <c r="I185" i="7" l="1"/>
  <c r="C186" i="7" s="1"/>
  <c r="J185" i="7"/>
  <c r="D186" i="7" l="1"/>
  <c r="E186" i="7" l="1"/>
  <c r="F186" i="7" s="1"/>
  <c r="H186" i="7" s="1"/>
  <c r="I186" i="7" l="1"/>
  <c r="C187" i="7" s="1"/>
  <c r="J186" i="7"/>
  <c r="D187" i="7" l="1"/>
  <c r="E187" i="7" l="1"/>
  <c r="F187" i="7" s="1"/>
  <c r="H187" i="7" s="1"/>
  <c r="I187" i="7" l="1"/>
  <c r="C188" i="7" s="1"/>
  <c r="J187" i="7"/>
  <c r="D188" i="7" l="1"/>
  <c r="E188" i="7" l="1"/>
  <c r="F188" i="7" s="1"/>
  <c r="H188" i="7" s="1"/>
  <c r="I188" i="7" l="1"/>
  <c r="C189" i="7" s="1"/>
  <c r="J188" i="7"/>
  <c r="D189" i="7" l="1"/>
  <c r="E189" i="7" l="1"/>
  <c r="F189" i="7" s="1"/>
  <c r="H189" i="7" s="1"/>
  <c r="I189" i="7" l="1"/>
  <c r="C190" i="7" s="1"/>
  <c r="J189" i="7"/>
  <c r="D190" i="7" l="1"/>
  <c r="E190" i="7" l="1"/>
  <c r="F190" i="7" s="1"/>
  <c r="H190" i="7" s="1"/>
  <c r="I190" i="7" l="1"/>
  <c r="C191" i="7" s="1"/>
  <c r="J190" i="7"/>
  <c r="D191" i="7" l="1"/>
  <c r="E191" i="7" l="1"/>
  <c r="F191" i="7" s="1"/>
  <c r="H191" i="7" s="1"/>
  <c r="I191" i="7" l="1"/>
  <c r="C192" i="7" s="1"/>
  <c r="J191" i="7"/>
  <c r="D192" i="7" l="1"/>
  <c r="E192" i="7" l="1"/>
  <c r="F192" i="7" s="1"/>
  <c r="H192" i="7" s="1"/>
  <c r="I192" i="7" l="1"/>
  <c r="C193" i="7" s="1"/>
  <c r="J192" i="7"/>
  <c r="D193" i="7" l="1"/>
  <c r="E193" i="7" l="1"/>
  <c r="F193" i="7" s="1"/>
  <c r="H193" i="7" s="1"/>
  <c r="I193" i="7" l="1"/>
  <c r="C194" i="7" s="1"/>
  <c r="J193" i="7"/>
  <c r="D194" i="7" l="1"/>
  <c r="E194" i="7" l="1"/>
  <c r="F194" i="7" s="1"/>
  <c r="H194" i="7" s="1"/>
  <c r="I194" i="7" l="1"/>
  <c r="C195" i="7" s="1"/>
  <c r="J194" i="7"/>
  <c r="D195" i="7" l="1"/>
  <c r="E195" i="7" l="1"/>
  <c r="F195" i="7" s="1"/>
  <c r="H195" i="7" s="1"/>
  <c r="I195" i="7" l="1"/>
  <c r="C196" i="7" s="1"/>
  <c r="J195" i="7"/>
  <c r="D196" i="7" l="1"/>
  <c r="E196" i="7" l="1"/>
  <c r="F196" i="7" s="1"/>
  <c r="H196" i="7" s="1"/>
  <c r="I196" i="7" l="1"/>
  <c r="C197" i="7" s="1"/>
  <c r="J196" i="7"/>
  <c r="D197" i="7" l="1"/>
  <c r="E197" i="7" l="1"/>
  <c r="F197" i="7" s="1"/>
  <c r="H197" i="7" s="1"/>
  <c r="I197" i="7" l="1"/>
  <c r="C198" i="7" s="1"/>
  <c r="J197" i="7"/>
  <c r="D198" i="7" l="1"/>
  <c r="E198" i="7" l="1"/>
  <c r="F198" i="7" s="1"/>
  <c r="H198" i="7" s="1"/>
  <c r="I198" i="7" l="1"/>
  <c r="C199" i="7" s="1"/>
  <c r="J198" i="7"/>
  <c r="D199" i="7" l="1"/>
  <c r="E199" i="7" l="1"/>
  <c r="F199" i="7" s="1"/>
  <c r="H199" i="7" s="1"/>
  <c r="I199" i="7" l="1"/>
  <c r="C200" i="7" s="1"/>
  <c r="J199" i="7"/>
  <c r="D200" i="7" l="1"/>
  <c r="E200" i="7" l="1"/>
  <c r="F200" i="7" s="1"/>
  <c r="H200" i="7" s="1"/>
  <c r="I200" i="7" l="1"/>
  <c r="C201" i="7" s="1"/>
  <c r="J200" i="7"/>
  <c r="D201" i="7" l="1"/>
  <c r="E201" i="7" l="1"/>
  <c r="F201" i="7" s="1"/>
  <c r="H201" i="7" s="1"/>
  <c r="I201" i="7" l="1"/>
  <c r="C202" i="7" s="1"/>
  <c r="J201" i="7"/>
  <c r="D202" i="7" l="1"/>
  <c r="E202" i="7" l="1"/>
  <c r="F202" i="7" s="1"/>
  <c r="H202" i="7" s="1"/>
  <c r="I202" i="7" l="1"/>
  <c r="C203" i="7" s="1"/>
  <c r="J202" i="7"/>
  <c r="D203" i="7" l="1"/>
  <c r="E203" i="7" l="1"/>
  <c r="F203" i="7" s="1"/>
  <c r="H203" i="7" s="1"/>
  <c r="I203" i="7" l="1"/>
  <c r="C204" i="7" s="1"/>
  <c r="J203" i="7"/>
  <c r="D204" i="7" l="1"/>
  <c r="E204" i="7" l="1"/>
  <c r="F204" i="7" s="1"/>
  <c r="H204" i="7" s="1"/>
  <c r="I204" i="7" l="1"/>
  <c r="C205" i="7" s="1"/>
  <c r="J204" i="7"/>
  <c r="D205" i="7" l="1"/>
  <c r="E205" i="7" l="1"/>
  <c r="F205" i="7" s="1"/>
  <c r="H205" i="7" s="1"/>
  <c r="I205" i="7" l="1"/>
  <c r="C206" i="7" s="1"/>
  <c r="J205" i="7"/>
  <c r="D206" i="7" l="1"/>
  <c r="E206" i="7" l="1"/>
  <c r="F206" i="7" s="1"/>
  <c r="H206" i="7" s="1"/>
  <c r="I206" i="7" l="1"/>
  <c r="C207" i="7" s="1"/>
  <c r="J206" i="7"/>
  <c r="D207" i="7" l="1"/>
  <c r="E207" i="7" l="1"/>
  <c r="F207" i="7" s="1"/>
  <c r="H207" i="7" s="1"/>
  <c r="I207" i="7" l="1"/>
  <c r="C208" i="7" s="1"/>
  <c r="J207" i="7"/>
  <c r="D208" i="7" l="1"/>
  <c r="E208" i="7" l="1"/>
  <c r="F208" i="7" s="1"/>
  <c r="H208" i="7" s="1"/>
  <c r="I208" i="7" l="1"/>
  <c r="C209" i="7" s="1"/>
  <c r="J208" i="7"/>
  <c r="D209" i="7" l="1"/>
  <c r="E209" i="7" l="1"/>
  <c r="F209" i="7" s="1"/>
  <c r="H209" i="7" s="1"/>
  <c r="I209" i="7" l="1"/>
  <c r="C210" i="7" s="1"/>
  <c r="J209" i="7"/>
  <c r="D210" i="7" l="1"/>
  <c r="E210" i="7" l="1"/>
  <c r="F210" i="7" s="1"/>
  <c r="H210" i="7" s="1"/>
  <c r="I210" i="7" l="1"/>
  <c r="C211" i="7" s="1"/>
  <c r="J210" i="7"/>
  <c r="D211" i="7" l="1"/>
  <c r="E211" i="7" l="1"/>
  <c r="F211" i="7" s="1"/>
  <c r="H211" i="7" s="1"/>
  <c r="I211" i="7" l="1"/>
  <c r="C212" i="7" s="1"/>
  <c r="J211" i="7"/>
  <c r="D212" i="7" l="1"/>
  <c r="E212" i="7" l="1"/>
  <c r="F212" i="7" s="1"/>
  <c r="H212" i="7" s="1"/>
  <c r="I212" i="7" l="1"/>
  <c r="C213" i="7" s="1"/>
  <c r="J212" i="7"/>
  <c r="D213" i="7" l="1"/>
  <c r="E213" i="7" l="1"/>
  <c r="F213" i="7" s="1"/>
  <c r="H213" i="7" s="1"/>
  <c r="I213" i="7" l="1"/>
  <c r="C214" i="7" s="1"/>
  <c r="J213" i="7"/>
  <c r="D214" i="7" l="1"/>
  <c r="E214" i="7" l="1"/>
  <c r="F214" i="7" s="1"/>
  <c r="H214" i="7" s="1"/>
  <c r="I214" i="7" l="1"/>
  <c r="C215" i="7" s="1"/>
  <c r="J214" i="7"/>
  <c r="D215" i="7" l="1"/>
  <c r="E215" i="7" l="1"/>
  <c r="F215" i="7" s="1"/>
  <c r="H215" i="7" s="1"/>
  <c r="I215" i="7" l="1"/>
  <c r="C216" i="7" s="1"/>
  <c r="J215" i="7"/>
  <c r="D216" i="7" l="1"/>
  <c r="E216" i="7" l="1"/>
  <c r="F216" i="7" s="1"/>
  <c r="H216" i="7" s="1"/>
  <c r="I216" i="7" l="1"/>
  <c r="C217" i="7" s="1"/>
  <c r="J216" i="7"/>
  <c r="D217" i="7" l="1"/>
  <c r="E217" i="7" l="1"/>
  <c r="F217" i="7" s="1"/>
  <c r="H217" i="7" s="1"/>
  <c r="I217" i="7" l="1"/>
  <c r="C218" i="7" s="1"/>
  <c r="J217" i="7"/>
  <c r="D218" i="7" l="1"/>
  <c r="E218" i="7" l="1"/>
  <c r="F218" i="7" s="1"/>
  <c r="H218" i="7" s="1"/>
  <c r="I218" i="7" l="1"/>
  <c r="C219" i="7" s="1"/>
  <c r="J218" i="7"/>
  <c r="D219" i="7" l="1"/>
  <c r="E219" i="7" l="1"/>
  <c r="F219" i="7" s="1"/>
  <c r="H219" i="7" s="1"/>
  <c r="I219" i="7" l="1"/>
  <c r="C220" i="7" s="1"/>
  <c r="J219" i="7"/>
  <c r="D220" i="7" l="1"/>
  <c r="E220" i="7" l="1"/>
  <c r="F220" i="7" s="1"/>
  <c r="H220" i="7" s="1"/>
  <c r="I220" i="7" l="1"/>
  <c r="C221" i="7" s="1"/>
  <c r="J220" i="7"/>
  <c r="D221" i="7" l="1"/>
  <c r="E221" i="7" l="1"/>
  <c r="F221" i="7" s="1"/>
  <c r="H221" i="7" s="1"/>
  <c r="I221" i="7" l="1"/>
  <c r="C222" i="7" s="1"/>
  <c r="J221" i="7"/>
  <c r="D222" i="7" l="1"/>
  <c r="E222" i="7" l="1"/>
  <c r="F222" i="7" s="1"/>
  <c r="H222" i="7" s="1"/>
  <c r="I222" i="7" l="1"/>
  <c r="C223" i="7" s="1"/>
  <c r="J222" i="7"/>
  <c r="D223" i="7" l="1"/>
  <c r="E223" i="7" l="1"/>
  <c r="F223" i="7" s="1"/>
  <c r="H223" i="7" s="1"/>
  <c r="I223" i="7" l="1"/>
  <c r="C224" i="7" s="1"/>
  <c r="J223" i="7"/>
  <c r="D224" i="7" l="1"/>
  <c r="E224" i="7" l="1"/>
  <c r="F224" i="7" s="1"/>
  <c r="H224" i="7" s="1"/>
  <c r="I224" i="7" l="1"/>
  <c r="C225" i="7" s="1"/>
  <c r="J224" i="7"/>
  <c r="D225" i="7" l="1"/>
  <c r="E225" i="7" l="1"/>
  <c r="F225" i="7" s="1"/>
  <c r="H225" i="7" s="1"/>
  <c r="I225" i="7" l="1"/>
  <c r="C226" i="7" s="1"/>
  <c r="J225" i="7"/>
  <c r="D226" i="7" l="1"/>
  <c r="E226" i="7" l="1"/>
  <c r="F226" i="7" s="1"/>
  <c r="H226" i="7" s="1"/>
  <c r="I226" i="7" l="1"/>
  <c r="C227" i="7" s="1"/>
  <c r="J226" i="7"/>
  <c r="D227" i="7" l="1"/>
  <c r="E227" i="7" l="1"/>
  <c r="F227" i="7" s="1"/>
  <c r="H227" i="7" s="1"/>
  <c r="I227" i="7" l="1"/>
  <c r="C228" i="7" s="1"/>
  <c r="J227" i="7"/>
  <c r="D228" i="7" l="1"/>
  <c r="E228" i="7" l="1"/>
  <c r="F228" i="7" s="1"/>
  <c r="H228" i="7" s="1"/>
  <c r="I228" i="7" l="1"/>
  <c r="C229" i="7" s="1"/>
  <c r="J228" i="7"/>
  <c r="D229" i="7" l="1"/>
  <c r="E229" i="7" l="1"/>
  <c r="F229" i="7" s="1"/>
  <c r="H229" i="7" s="1"/>
  <c r="I229" i="7" l="1"/>
  <c r="C230" i="7" s="1"/>
  <c r="J229" i="7"/>
  <c r="D230" i="7" l="1"/>
  <c r="E230" i="7" l="1"/>
  <c r="F230" i="7" s="1"/>
  <c r="H230" i="7" s="1"/>
  <c r="I230" i="7" l="1"/>
  <c r="C231" i="7" s="1"/>
  <c r="J230" i="7"/>
  <c r="D231" i="7" l="1"/>
  <c r="E231" i="7" l="1"/>
  <c r="F231" i="7" s="1"/>
  <c r="H231" i="7" s="1"/>
  <c r="I231" i="7" l="1"/>
  <c r="C232" i="7" s="1"/>
  <c r="J231" i="7"/>
  <c r="D232" i="7" l="1"/>
  <c r="E232" i="7" l="1"/>
  <c r="F232" i="7" s="1"/>
  <c r="H232" i="7" s="1"/>
  <c r="I232" i="7" l="1"/>
  <c r="C233" i="7" s="1"/>
  <c r="J232" i="7"/>
  <c r="D233" i="7" l="1"/>
  <c r="E233" i="7" l="1"/>
  <c r="F233" i="7" s="1"/>
  <c r="H233" i="7" s="1"/>
  <c r="I233" i="7" l="1"/>
  <c r="C234" i="7" s="1"/>
  <c r="J233" i="7"/>
  <c r="D234" i="7" l="1"/>
  <c r="E234" i="7" l="1"/>
  <c r="F234" i="7" s="1"/>
  <c r="H234" i="7" s="1"/>
  <c r="I234" i="7" l="1"/>
  <c r="C235" i="7" s="1"/>
  <c r="J234" i="7"/>
  <c r="D235" i="7" l="1"/>
  <c r="E235" i="7" l="1"/>
  <c r="F235" i="7" s="1"/>
  <c r="H235" i="7" s="1"/>
  <c r="I235" i="7" l="1"/>
  <c r="C236" i="7" s="1"/>
  <c r="J235" i="7"/>
  <c r="D236" i="7" l="1"/>
  <c r="E236" i="7" l="1"/>
  <c r="F236" i="7" s="1"/>
  <c r="H236" i="7" s="1"/>
  <c r="I236" i="7" l="1"/>
  <c r="C237" i="7" s="1"/>
  <c r="J236" i="7"/>
  <c r="D237" i="7" l="1"/>
  <c r="E237" i="7" l="1"/>
  <c r="F237" i="7" s="1"/>
  <c r="H237" i="7" s="1"/>
  <c r="I237" i="7" l="1"/>
  <c r="C238" i="7" s="1"/>
  <c r="J237" i="7"/>
  <c r="D238" i="7" l="1"/>
  <c r="E238" i="7" l="1"/>
  <c r="F238" i="7" s="1"/>
  <c r="H238" i="7" s="1"/>
  <c r="I238" i="7" l="1"/>
  <c r="C239" i="7" s="1"/>
  <c r="J238" i="7"/>
  <c r="D239" i="7" l="1"/>
  <c r="E239" i="7" l="1"/>
  <c r="F239" i="7" s="1"/>
  <c r="H239" i="7" s="1"/>
  <c r="I239" i="7" l="1"/>
  <c r="C240" i="7" s="1"/>
  <c r="J239" i="7"/>
  <c r="D240" i="7" l="1"/>
  <c r="E240" i="7" l="1"/>
  <c r="F240" i="7" s="1"/>
  <c r="H240" i="7" s="1"/>
  <c r="I240" i="7" l="1"/>
  <c r="C241" i="7" s="1"/>
  <c r="J240" i="7"/>
  <c r="D241" i="7" l="1"/>
  <c r="E241" i="7" l="1"/>
  <c r="F241" i="7" s="1"/>
  <c r="H241" i="7" s="1"/>
  <c r="I241" i="7" l="1"/>
  <c r="C242" i="7" s="1"/>
  <c r="J241" i="7"/>
  <c r="D242" i="7" l="1"/>
  <c r="E242" i="7" l="1"/>
  <c r="F242" i="7" s="1"/>
  <c r="H242" i="7" s="1"/>
  <c r="I242" i="7" l="1"/>
  <c r="C243" i="7" s="1"/>
  <c r="J242" i="7"/>
  <c r="D243" i="7" l="1"/>
  <c r="E243" i="7" l="1"/>
  <c r="F243" i="7" s="1"/>
  <c r="H243" i="7" s="1"/>
  <c r="I243" i="7" l="1"/>
  <c r="C244" i="7" s="1"/>
  <c r="J243" i="7"/>
  <c r="D244" i="7" l="1"/>
  <c r="E244" i="7" l="1"/>
  <c r="F244" i="7" s="1"/>
  <c r="H244" i="7" s="1"/>
  <c r="I244" i="7" l="1"/>
  <c r="C245" i="7" s="1"/>
  <c r="J244" i="7"/>
  <c r="D245" i="7" l="1"/>
  <c r="E245" i="7" l="1"/>
  <c r="F245" i="7" s="1"/>
  <c r="H245" i="7" s="1"/>
  <c r="I245" i="7" l="1"/>
  <c r="C246" i="7" s="1"/>
  <c r="J245" i="7"/>
  <c r="D246" i="7" l="1"/>
  <c r="E246" i="7" l="1"/>
  <c r="F246" i="7" s="1"/>
  <c r="H246" i="7" s="1"/>
  <c r="I246" i="7" l="1"/>
  <c r="C247" i="7" s="1"/>
  <c r="J246" i="7"/>
  <c r="D247" i="7" l="1"/>
  <c r="E247" i="7" l="1"/>
  <c r="F247" i="7" s="1"/>
  <c r="H247" i="7" s="1"/>
  <c r="I247" i="7" l="1"/>
  <c r="C248" i="7" s="1"/>
  <c r="J247" i="7"/>
  <c r="D248" i="7" l="1"/>
  <c r="E248" i="7" l="1"/>
  <c r="F248" i="7" s="1"/>
  <c r="H248" i="7" s="1"/>
  <c r="I248" i="7" l="1"/>
  <c r="C249" i="7" s="1"/>
  <c r="J248" i="7"/>
  <c r="D249" i="7" l="1"/>
  <c r="E249" i="7" l="1"/>
  <c r="F249" i="7" s="1"/>
  <c r="H249" i="7" s="1"/>
  <c r="I249" i="7" l="1"/>
  <c r="C250" i="7" s="1"/>
  <c r="J249" i="7"/>
  <c r="D250" i="7" l="1"/>
  <c r="E250" i="7" l="1"/>
  <c r="F250" i="7" s="1"/>
  <c r="H250" i="7" s="1"/>
  <c r="I250" i="7" l="1"/>
  <c r="C251" i="7" s="1"/>
  <c r="J250" i="7"/>
  <c r="D251" i="7" l="1"/>
  <c r="E251" i="7" l="1"/>
  <c r="F251" i="7" s="1"/>
  <c r="H251" i="7" s="1"/>
  <c r="I251" i="7" l="1"/>
  <c r="C252" i="7" s="1"/>
  <c r="J251" i="7"/>
  <c r="D252" i="7" l="1"/>
  <c r="E252" i="7" l="1"/>
  <c r="F252" i="7" s="1"/>
  <c r="H252" i="7" s="1"/>
  <c r="I252" i="7" l="1"/>
  <c r="C253" i="7" s="1"/>
  <c r="J252" i="7"/>
  <c r="D253" i="7" l="1"/>
  <c r="E253" i="7" l="1"/>
  <c r="F253" i="7" s="1"/>
  <c r="H253" i="7" s="1"/>
  <c r="I253" i="7" l="1"/>
  <c r="C254" i="7" s="1"/>
  <c r="J253" i="7"/>
  <c r="D254" i="7" l="1"/>
  <c r="E254" i="7" l="1"/>
  <c r="F254" i="7" s="1"/>
  <c r="H254" i="7" s="1"/>
  <c r="I254" i="7" l="1"/>
  <c r="C255" i="7" s="1"/>
  <c r="J254" i="7"/>
  <c r="D255" i="7" l="1"/>
  <c r="E255" i="7" l="1"/>
  <c r="F255" i="7" s="1"/>
  <c r="H255" i="7" s="1"/>
  <c r="I255" i="7" l="1"/>
  <c r="C256" i="7" s="1"/>
  <c r="J255" i="7"/>
  <c r="D256" i="7" l="1"/>
  <c r="E256" i="7" l="1"/>
  <c r="F256" i="7" s="1"/>
  <c r="H256" i="7" s="1"/>
  <c r="I256" i="7" l="1"/>
  <c r="C257" i="7" s="1"/>
  <c r="J256" i="7"/>
  <c r="D257" i="7" l="1"/>
  <c r="E257" i="7" l="1"/>
  <c r="F257" i="7" s="1"/>
  <c r="H257" i="7" s="1"/>
  <c r="I257" i="7" l="1"/>
  <c r="C258" i="7" s="1"/>
  <c r="J257" i="7"/>
  <c r="D258" i="7" l="1"/>
  <c r="E258" i="7" l="1"/>
  <c r="F258" i="7" s="1"/>
  <c r="H258" i="7" s="1"/>
  <c r="I258" i="7" l="1"/>
  <c r="C259" i="7" s="1"/>
  <c r="J258" i="7"/>
  <c r="D259" i="7" l="1"/>
  <c r="E259" i="7" l="1"/>
  <c r="F259" i="7" s="1"/>
  <c r="H259" i="7" s="1"/>
  <c r="I259" i="7" l="1"/>
  <c r="C260" i="7" s="1"/>
  <c r="J259" i="7"/>
  <c r="D260" i="7" l="1"/>
  <c r="E260" i="7" l="1"/>
  <c r="F260" i="7" s="1"/>
  <c r="H260" i="7" s="1"/>
  <c r="I260" i="7" l="1"/>
  <c r="C261" i="7" s="1"/>
  <c r="J260" i="7"/>
  <c r="D261" i="7" l="1"/>
  <c r="E261" i="7" l="1"/>
  <c r="F261" i="7" s="1"/>
  <c r="H261" i="7" s="1"/>
  <c r="I261" i="7" l="1"/>
  <c r="C262" i="7" s="1"/>
  <c r="J261" i="7"/>
  <c r="D262" i="7" l="1"/>
  <c r="E262" i="7" l="1"/>
  <c r="F262" i="7" s="1"/>
  <c r="H262" i="7" s="1"/>
  <c r="I262" i="7" l="1"/>
  <c r="C263" i="7" s="1"/>
  <c r="J262" i="7"/>
  <c r="D263" i="7" l="1"/>
  <c r="E263" i="7" l="1"/>
  <c r="F263" i="7" s="1"/>
  <c r="H263" i="7" s="1"/>
  <c r="I263" i="7" l="1"/>
  <c r="C264" i="7" s="1"/>
  <c r="J263" i="7"/>
  <c r="D264" i="7" l="1"/>
  <c r="E264" i="7" l="1"/>
  <c r="F264" i="7" s="1"/>
  <c r="H264" i="7" s="1"/>
  <c r="I264" i="7" l="1"/>
  <c r="C265" i="7" s="1"/>
  <c r="J264" i="7"/>
  <c r="D265" i="7" l="1"/>
  <c r="E265" i="7" l="1"/>
  <c r="F265" i="7" s="1"/>
  <c r="H265" i="7" s="1"/>
  <c r="I265" i="7" l="1"/>
  <c r="C266" i="7" s="1"/>
  <c r="J265" i="7"/>
  <c r="D266" i="7" l="1"/>
  <c r="E266" i="7" l="1"/>
  <c r="F266" i="7" s="1"/>
  <c r="H266" i="7" s="1"/>
  <c r="I266" i="7" l="1"/>
  <c r="C267" i="7" s="1"/>
  <c r="J266" i="7"/>
  <c r="D267" i="7" l="1"/>
  <c r="E267" i="7" l="1"/>
  <c r="F267" i="7" s="1"/>
  <c r="H267" i="7" s="1"/>
  <c r="I267" i="7" l="1"/>
  <c r="C268" i="7" s="1"/>
  <c r="J267" i="7"/>
  <c r="D268" i="7" l="1"/>
  <c r="E268" i="7" l="1"/>
  <c r="F268" i="7" s="1"/>
  <c r="H268" i="7" s="1"/>
  <c r="I268" i="7" l="1"/>
  <c r="C269" i="7" s="1"/>
  <c r="J268" i="7"/>
  <c r="D269" i="7" l="1"/>
  <c r="E269" i="7" l="1"/>
  <c r="F269" i="7" s="1"/>
  <c r="H269" i="7" s="1"/>
  <c r="I269" i="7" l="1"/>
  <c r="C270" i="7" s="1"/>
  <c r="J269" i="7"/>
  <c r="D270" i="7" l="1"/>
  <c r="E270" i="7" l="1"/>
  <c r="F270" i="7" s="1"/>
  <c r="H270" i="7" s="1"/>
  <c r="I270" i="7" l="1"/>
  <c r="C271" i="7" s="1"/>
  <c r="J270" i="7"/>
  <c r="D271" i="7" l="1"/>
  <c r="E271" i="7" l="1"/>
  <c r="F271" i="7" s="1"/>
  <c r="H271" i="7" s="1"/>
  <c r="I271" i="7" l="1"/>
  <c r="C272" i="7" s="1"/>
  <c r="J271" i="7"/>
  <c r="D272" i="7" l="1"/>
  <c r="E272" i="7" l="1"/>
  <c r="F272" i="7" s="1"/>
  <c r="H272" i="7" s="1"/>
  <c r="I272" i="7" l="1"/>
  <c r="C273" i="7" s="1"/>
  <c r="J272" i="7"/>
  <c r="D273" i="7" l="1"/>
  <c r="E273" i="7" l="1"/>
  <c r="F273" i="7" s="1"/>
  <c r="H273" i="7" s="1"/>
  <c r="I273" i="7" l="1"/>
  <c r="C274" i="7" s="1"/>
  <c r="J273" i="7"/>
  <c r="D274" i="7" l="1"/>
  <c r="E274" i="7" l="1"/>
  <c r="F274" i="7" s="1"/>
  <c r="H274" i="7" s="1"/>
  <c r="I274" i="7" l="1"/>
  <c r="C275" i="7" s="1"/>
  <c r="J274" i="7"/>
  <c r="D275" i="7" l="1"/>
  <c r="E275" i="7" l="1"/>
  <c r="F275" i="7" s="1"/>
  <c r="H275" i="7" s="1"/>
  <c r="I275" i="7" l="1"/>
  <c r="C276" i="7" s="1"/>
  <c r="J275" i="7"/>
  <c r="D276" i="7" l="1"/>
  <c r="E276" i="7" l="1"/>
  <c r="F276" i="7" s="1"/>
  <c r="H276" i="7" s="1"/>
  <c r="I276" i="7" l="1"/>
  <c r="C277" i="7" s="1"/>
  <c r="J276" i="7"/>
  <c r="D277" i="7" l="1"/>
  <c r="E277" i="7" l="1"/>
  <c r="F277" i="7" s="1"/>
  <c r="H277" i="7" s="1"/>
  <c r="I277" i="7" l="1"/>
  <c r="C278" i="7" s="1"/>
  <c r="J277" i="7"/>
  <c r="D278" i="7" l="1"/>
  <c r="E278" i="7" l="1"/>
  <c r="F278" i="7" s="1"/>
  <c r="H278" i="7" s="1"/>
  <c r="I278" i="7" l="1"/>
  <c r="C279" i="7" s="1"/>
  <c r="J278" i="7"/>
  <c r="D279" i="7" l="1"/>
  <c r="E279" i="7" l="1"/>
  <c r="F279" i="7" s="1"/>
  <c r="H279" i="7" s="1"/>
  <c r="I279" i="7" l="1"/>
  <c r="C280" i="7" s="1"/>
  <c r="J279" i="7"/>
  <c r="D280" i="7" l="1"/>
  <c r="E280" i="7" l="1"/>
  <c r="F280" i="7" s="1"/>
  <c r="H280" i="7" s="1"/>
  <c r="I280" i="7" l="1"/>
  <c r="C281" i="7" s="1"/>
  <c r="J280" i="7"/>
  <c r="D281" i="7" l="1"/>
  <c r="E281" i="7" l="1"/>
  <c r="F281" i="7" s="1"/>
  <c r="H281" i="7" s="1"/>
  <c r="I281" i="7" l="1"/>
  <c r="C282" i="7" s="1"/>
  <c r="J281" i="7"/>
  <c r="D282" i="7" l="1"/>
  <c r="E282" i="7" l="1"/>
  <c r="F282" i="7" s="1"/>
  <c r="H282" i="7" s="1"/>
  <c r="I282" i="7" l="1"/>
  <c r="C283" i="7" s="1"/>
  <c r="J282" i="7"/>
  <c r="D283" i="7" l="1"/>
  <c r="E283" i="7" l="1"/>
  <c r="F283" i="7" s="1"/>
  <c r="H283" i="7" s="1"/>
  <c r="I283" i="7" l="1"/>
  <c r="C284" i="7" s="1"/>
  <c r="J283" i="7"/>
  <c r="D284" i="7" l="1"/>
  <c r="E284" i="7" l="1"/>
  <c r="F284" i="7" s="1"/>
  <c r="H284" i="7" s="1"/>
  <c r="I284" i="7" l="1"/>
  <c r="C285" i="7" s="1"/>
  <c r="J284" i="7"/>
  <c r="D285" i="7" l="1"/>
  <c r="E285" i="7" l="1"/>
  <c r="F285" i="7" s="1"/>
  <c r="H285" i="7" s="1"/>
  <c r="I285" i="7" l="1"/>
  <c r="C286" i="7" s="1"/>
  <c r="J285" i="7"/>
  <c r="D286" i="7" l="1"/>
  <c r="E286" i="7" l="1"/>
  <c r="F286" i="7" s="1"/>
  <c r="H286" i="7" s="1"/>
  <c r="I286" i="7" l="1"/>
  <c r="C287" i="7" s="1"/>
  <c r="J286" i="7"/>
  <c r="D287" i="7" l="1"/>
  <c r="E287" i="7" l="1"/>
  <c r="F287" i="7" s="1"/>
  <c r="H287" i="7" s="1"/>
  <c r="I287" i="7" l="1"/>
  <c r="C288" i="7" s="1"/>
  <c r="J287" i="7"/>
  <c r="D288" i="7" l="1"/>
  <c r="E288" i="7" l="1"/>
  <c r="F288" i="7" s="1"/>
  <c r="H288" i="7" s="1"/>
  <c r="I288" i="7" l="1"/>
  <c r="C289" i="7" s="1"/>
  <c r="J288" i="7"/>
  <c r="D289" i="7" l="1"/>
  <c r="E289" i="7" l="1"/>
  <c r="F289" i="7" s="1"/>
  <c r="H289" i="7" s="1"/>
  <c r="I289" i="7" l="1"/>
  <c r="C290" i="7" s="1"/>
  <c r="J289" i="7"/>
  <c r="D290" i="7" l="1"/>
  <c r="E290" i="7" l="1"/>
  <c r="F290" i="7" s="1"/>
  <c r="H290" i="7" s="1"/>
  <c r="I290" i="7" l="1"/>
  <c r="C291" i="7" s="1"/>
  <c r="J290" i="7"/>
  <c r="D291" i="7" l="1"/>
  <c r="E291" i="7" l="1"/>
  <c r="F291" i="7" s="1"/>
  <c r="H291" i="7" s="1"/>
  <c r="I291" i="7" l="1"/>
  <c r="C292" i="7" s="1"/>
  <c r="J291" i="7"/>
  <c r="D292" i="7" l="1"/>
  <c r="E292" i="7" l="1"/>
  <c r="F292" i="7" s="1"/>
  <c r="H292" i="7" s="1"/>
  <c r="I292" i="7" l="1"/>
  <c r="C293" i="7" s="1"/>
  <c r="J292" i="7"/>
  <c r="D293" i="7" l="1"/>
  <c r="E293" i="7" l="1"/>
  <c r="F293" i="7" s="1"/>
  <c r="H293" i="7" s="1"/>
  <c r="I293" i="7" l="1"/>
  <c r="C294" i="7" s="1"/>
  <c r="J293" i="7"/>
  <c r="D294" i="7" l="1"/>
  <c r="E294" i="7" l="1"/>
  <c r="F294" i="7" s="1"/>
  <c r="H294" i="7" s="1"/>
  <c r="I294" i="7" l="1"/>
  <c r="C295" i="7" s="1"/>
  <c r="J294" i="7"/>
  <c r="D295" i="7" l="1"/>
  <c r="E295" i="7" l="1"/>
  <c r="F295" i="7" s="1"/>
  <c r="H295" i="7" s="1"/>
  <c r="I295" i="7" l="1"/>
  <c r="C296" i="7" s="1"/>
  <c r="J295" i="7"/>
  <c r="D296" i="7" l="1"/>
  <c r="E296" i="7" l="1"/>
  <c r="F296" i="7" s="1"/>
  <c r="H296" i="7" s="1"/>
  <c r="I296" i="7" l="1"/>
  <c r="C297" i="7" s="1"/>
  <c r="J296" i="7"/>
  <c r="D297" i="7" l="1"/>
  <c r="E297" i="7" l="1"/>
  <c r="F297" i="7" s="1"/>
  <c r="H297" i="7" s="1"/>
  <c r="I297" i="7" l="1"/>
  <c r="C298" i="7" s="1"/>
  <c r="J297" i="7"/>
  <c r="D298" i="7" l="1"/>
  <c r="E298" i="7" l="1"/>
  <c r="F298" i="7" s="1"/>
  <c r="H298" i="7" s="1"/>
  <c r="I298" i="7" l="1"/>
  <c r="C299" i="7" s="1"/>
  <c r="J298" i="7"/>
  <c r="D299" i="7" l="1"/>
  <c r="E299" i="7" l="1"/>
  <c r="F299" i="7" s="1"/>
  <c r="H299" i="7" s="1"/>
  <c r="I299" i="7" l="1"/>
  <c r="C300" i="7" s="1"/>
  <c r="J299" i="7"/>
  <c r="D300" i="7" l="1"/>
  <c r="E300" i="7" l="1"/>
  <c r="F300" i="7" s="1"/>
  <c r="H300" i="7" s="1"/>
  <c r="I300" i="7" l="1"/>
  <c r="C301" i="7" s="1"/>
  <c r="J300" i="7"/>
  <c r="D301" i="7" l="1"/>
  <c r="E301" i="7" l="1"/>
  <c r="F301" i="7" s="1"/>
  <c r="H301" i="7" s="1"/>
  <c r="I301" i="7" l="1"/>
  <c r="C302" i="7" s="1"/>
  <c r="J301" i="7"/>
  <c r="D302" i="7" l="1"/>
  <c r="E302" i="7" l="1"/>
  <c r="F302" i="7" s="1"/>
  <c r="H302" i="7" s="1"/>
  <c r="I302" i="7" l="1"/>
  <c r="C303" i="7" s="1"/>
  <c r="J302" i="7"/>
  <c r="D303" i="7" l="1"/>
  <c r="E303" i="7" l="1"/>
  <c r="F303" i="7" s="1"/>
  <c r="H303" i="7" s="1"/>
  <c r="I303" i="7" l="1"/>
  <c r="C304" i="7" s="1"/>
  <c r="J303" i="7"/>
  <c r="D304" i="7" l="1"/>
  <c r="E304" i="7" l="1"/>
  <c r="F304" i="7" s="1"/>
  <c r="H304" i="7" s="1"/>
  <c r="I304" i="7" l="1"/>
  <c r="C305" i="7" s="1"/>
  <c r="J304" i="7"/>
  <c r="D305" i="7" l="1"/>
  <c r="E305" i="7" l="1"/>
  <c r="F305" i="7" s="1"/>
  <c r="H305" i="7" s="1"/>
  <c r="I305" i="7" l="1"/>
  <c r="C306" i="7" s="1"/>
  <c r="J305" i="7"/>
  <c r="D306" i="7" l="1"/>
  <c r="E306" i="7" l="1"/>
  <c r="F306" i="7" s="1"/>
  <c r="H306" i="7" s="1"/>
  <c r="I306" i="7" l="1"/>
  <c r="C307" i="7" s="1"/>
  <c r="J306" i="7"/>
  <c r="D307" i="7" l="1"/>
  <c r="E307" i="7" l="1"/>
  <c r="F307" i="7" s="1"/>
  <c r="H307" i="7" s="1"/>
  <c r="I307" i="7" l="1"/>
  <c r="C308" i="7" s="1"/>
  <c r="J307" i="7"/>
  <c r="D308" i="7" l="1"/>
  <c r="E308" i="7" l="1"/>
  <c r="F308" i="7" s="1"/>
  <c r="H308" i="7" s="1"/>
  <c r="I308" i="7" l="1"/>
  <c r="C309" i="7" s="1"/>
  <c r="J308" i="7"/>
  <c r="D309" i="7" l="1"/>
  <c r="E309" i="7" l="1"/>
  <c r="F309" i="7" s="1"/>
  <c r="H309" i="7" s="1"/>
  <c r="I309" i="7" l="1"/>
  <c r="C310" i="7" s="1"/>
  <c r="J309" i="7"/>
  <c r="D310" i="7" l="1"/>
  <c r="E310" i="7" l="1"/>
  <c r="F310" i="7" s="1"/>
  <c r="H310" i="7" s="1"/>
  <c r="I310" i="7" l="1"/>
  <c r="C311" i="7" s="1"/>
  <c r="J310" i="7"/>
  <c r="D311" i="7" l="1"/>
  <c r="E311" i="7" l="1"/>
  <c r="F311" i="7" s="1"/>
  <c r="H311" i="7" s="1"/>
  <c r="I311" i="7" l="1"/>
  <c r="C312" i="7" s="1"/>
  <c r="J311" i="7"/>
  <c r="D312" i="7" l="1"/>
  <c r="E312" i="7" l="1"/>
  <c r="F312" i="7" s="1"/>
  <c r="H312" i="7" s="1"/>
  <c r="I312" i="7" l="1"/>
  <c r="C313" i="7" s="1"/>
  <c r="J312" i="7"/>
  <c r="D313" i="7" l="1"/>
  <c r="E313" i="7" l="1"/>
  <c r="F313" i="7" s="1"/>
  <c r="H313" i="7" s="1"/>
  <c r="I313" i="7" l="1"/>
  <c r="C314" i="7" s="1"/>
  <c r="J313" i="7"/>
  <c r="D314" i="7" l="1"/>
  <c r="E314" i="7" l="1"/>
  <c r="F314" i="7" s="1"/>
  <c r="H314" i="7" s="1"/>
  <c r="I314" i="7" l="1"/>
  <c r="C315" i="7" s="1"/>
  <c r="J314" i="7"/>
  <c r="D315" i="7" l="1"/>
  <c r="E315" i="7" l="1"/>
  <c r="F315" i="7" s="1"/>
  <c r="H315" i="7" s="1"/>
  <c r="I315" i="7" l="1"/>
  <c r="C316" i="7" s="1"/>
  <c r="J315" i="7"/>
  <c r="D316" i="7" l="1"/>
  <c r="E316" i="7" l="1"/>
  <c r="F316" i="7" s="1"/>
  <c r="H316" i="7" s="1"/>
  <c r="I316" i="7" l="1"/>
  <c r="C317" i="7" s="1"/>
  <c r="J316" i="7"/>
  <c r="D317" i="7" l="1"/>
  <c r="E317" i="7" l="1"/>
  <c r="F317" i="7" s="1"/>
  <c r="H317" i="7" s="1"/>
  <c r="I317" i="7" l="1"/>
  <c r="C318" i="7" s="1"/>
  <c r="J317" i="7"/>
  <c r="D318" i="7" l="1"/>
  <c r="E318" i="7" l="1"/>
  <c r="F318" i="7" s="1"/>
  <c r="H318" i="7" s="1"/>
  <c r="I318" i="7" l="1"/>
  <c r="C319" i="7" s="1"/>
  <c r="J318" i="7"/>
  <c r="D319" i="7" l="1"/>
  <c r="E319" i="7" l="1"/>
  <c r="F319" i="7" s="1"/>
  <c r="H319" i="7" s="1"/>
  <c r="I319" i="7" l="1"/>
  <c r="C320" i="7" s="1"/>
  <c r="J319" i="7"/>
  <c r="D320" i="7" l="1"/>
  <c r="E320" i="7" l="1"/>
  <c r="F320" i="7" s="1"/>
  <c r="H320" i="7" s="1"/>
  <c r="I320" i="7" l="1"/>
  <c r="C321" i="7" s="1"/>
  <c r="J320" i="7"/>
  <c r="D321" i="7" l="1"/>
  <c r="E321" i="7" l="1"/>
  <c r="F321" i="7" s="1"/>
  <c r="H321" i="7" s="1"/>
  <c r="I321" i="7" l="1"/>
  <c r="C322" i="7" s="1"/>
  <c r="J321" i="7"/>
  <c r="D322" i="7" l="1"/>
  <c r="E322" i="7" l="1"/>
  <c r="F322" i="7" s="1"/>
  <c r="H322" i="7" s="1"/>
  <c r="I322" i="7" l="1"/>
  <c r="C323" i="7" s="1"/>
  <c r="J322" i="7"/>
  <c r="D323" i="7" l="1"/>
  <c r="E323" i="7" l="1"/>
  <c r="F323" i="7" s="1"/>
  <c r="H323" i="7" s="1"/>
  <c r="I323" i="7" l="1"/>
  <c r="C324" i="7" s="1"/>
  <c r="J323" i="7"/>
  <c r="D324" i="7" l="1"/>
  <c r="E324" i="7" l="1"/>
  <c r="F324" i="7" s="1"/>
  <c r="H324" i="7" s="1"/>
  <c r="I324" i="7" l="1"/>
  <c r="C325" i="7" s="1"/>
  <c r="J324" i="7"/>
  <c r="D325" i="7" l="1"/>
  <c r="E325" i="7" l="1"/>
  <c r="F325" i="7" s="1"/>
  <c r="H325" i="7" s="1"/>
  <c r="I325" i="7" l="1"/>
  <c r="C326" i="7" s="1"/>
  <c r="J325" i="7"/>
  <c r="D326" i="7" l="1"/>
  <c r="E326" i="7" l="1"/>
  <c r="F326" i="7" s="1"/>
  <c r="H326" i="7" s="1"/>
  <c r="I326" i="7" l="1"/>
  <c r="C327" i="7" s="1"/>
  <c r="J326" i="7"/>
  <c r="D327" i="7" l="1"/>
  <c r="E327" i="7" l="1"/>
  <c r="F327" i="7" s="1"/>
  <c r="H327" i="7" s="1"/>
  <c r="I327" i="7" l="1"/>
  <c r="C328" i="7" s="1"/>
  <c r="J327" i="7"/>
  <c r="D328" i="7" l="1"/>
  <c r="E328" i="7" l="1"/>
  <c r="F328" i="7" s="1"/>
  <c r="H328" i="7" s="1"/>
  <c r="I328" i="7" l="1"/>
  <c r="C329" i="7" s="1"/>
  <c r="J328" i="7"/>
  <c r="D329" i="7" l="1"/>
  <c r="E329" i="7" l="1"/>
  <c r="F329" i="7" s="1"/>
  <c r="H329" i="7" s="1"/>
  <c r="I329" i="7" l="1"/>
  <c r="C330" i="7" s="1"/>
  <c r="J329" i="7"/>
  <c r="D330" i="7" l="1"/>
  <c r="E330" i="7" l="1"/>
  <c r="F330" i="7" s="1"/>
  <c r="H330" i="7" s="1"/>
  <c r="I330" i="7" l="1"/>
  <c r="C331" i="7" s="1"/>
  <c r="J330" i="7"/>
  <c r="D331" i="7" l="1"/>
  <c r="E331" i="7" l="1"/>
  <c r="F331" i="7" s="1"/>
  <c r="H331" i="7" s="1"/>
  <c r="I331" i="7" l="1"/>
  <c r="C332" i="7" s="1"/>
  <c r="J331" i="7"/>
  <c r="D332" i="7" l="1"/>
  <c r="E332" i="7" l="1"/>
  <c r="F332" i="7" s="1"/>
  <c r="H332" i="7" s="1"/>
  <c r="I332" i="7" l="1"/>
  <c r="C333" i="7" s="1"/>
  <c r="J332" i="7"/>
  <c r="D333" i="7" l="1"/>
  <c r="E333" i="7" l="1"/>
  <c r="F333" i="7" s="1"/>
  <c r="H333" i="7" s="1"/>
  <c r="I333" i="7" l="1"/>
  <c r="C334" i="7" s="1"/>
  <c r="J333" i="7"/>
  <c r="D334" i="7" l="1"/>
  <c r="E334" i="7" l="1"/>
  <c r="F334" i="7" s="1"/>
  <c r="H334" i="7" s="1"/>
  <c r="I334" i="7" l="1"/>
  <c r="C335" i="7" s="1"/>
  <c r="J334" i="7"/>
  <c r="D335" i="7" l="1"/>
  <c r="E335" i="7" l="1"/>
  <c r="F335" i="7" s="1"/>
  <c r="H335" i="7" s="1"/>
  <c r="I335" i="7" l="1"/>
  <c r="C336" i="7" s="1"/>
  <c r="J335" i="7"/>
  <c r="D336" i="7" l="1"/>
  <c r="E336" i="7" l="1"/>
  <c r="F336" i="7" s="1"/>
  <c r="H336" i="7" s="1"/>
  <c r="I336" i="7" l="1"/>
  <c r="C337" i="7" s="1"/>
  <c r="J336" i="7"/>
  <c r="D337" i="7" l="1"/>
  <c r="E337" i="7" l="1"/>
  <c r="F337" i="7" s="1"/>
  <c r="H337" i="7" s="1"/>
  <c r="I337" i="7" l="1"/>
  <c r="C338" i="7" s="1"/>
  <c r="J337" i="7"/>
  <c r="D338" i="7" l="1"/>
  <c r="E338" i="7" l="1"/>
  <c r="F338" i="7" s="1"/>
  <c r="H338" i="7" s="1"/>
  <c r="I338" i="7" l="1"/>
  <c r="C339" i="7" s="1"/>
  <c r="J338" i="7"/>
  <c r="D339" i="7" l="1"/>
  <c r="E339" i="7" l="1"/>
  <c r="F339" i="7" s="1"/>
  <c r="H339" i="7" s="1"/>
  <c r="I339" i="7" l="1"/>
  <c r="C340" i="7" s="1"/>
  <c r="J339" i="7"/>
  <c r="D340" i="7" l="1"/>
  <c r="E340" i="7" l="1"/>
  <c r="F340" i="7" s="1"/>
  <c r="H340" i="7" s="1"/>
  <c r="I340" i="7" l="1"/>
  <c r="C341" i="7" s="1"/>
  <c r="J340" i="7"/>
  <c r="D341" i="7" l="1"/>
  <c r="E341" i="7" l="1"/>
  <c r="F341" i="7" s="1"/>
  <c r="H341" i="7" s="1"/>
  <c r="I341" i="7" l="1"/>
  <c r="C342" i="7" s="1"/>
  <c r="J341" i="7"/>
  <c r="D342" i="7" l="1"/>
  <c r="E342" i="7" l="1"/>
  <c r="F342" i="7" s="1"/>
  <c r="H342" i="7" s="1"/>
  <c r="I342" i="7" l="1"/>
  <c r="C343" i="7" s="1"/>
  <c r="J342" i="7"/>
  <c r="D343" i="7" l="1"/>
  <c r="E343" i="7" l="1"/>
  <c r="F343" i="7" s="1"/>
  <c r="H343" i="7" s="1"/>
  <c r="I343" i="7" l="1"/>
  <c r="C344" i="7" s="1"/>
  <c r="J343" i="7"/>
  <c r="D344" i="7" l="1"/>
  <c r="E344" i="7" l="1"/>
  <c r="F344" i="7" s="1"/>
  <c r="H344" i="7" s="1"/>
  <c r="I344" i="7" l="1"/>
  <c r="C345" i="7" s="1"/>
  <c r="J344" i="7"/>
  <c r="D345" i="7" l="1"/>
  <c r="E345" i="7" l="1"/>
  <c r="F345" i="7" s="1"/>
  <c r="H345" i="7" s="1"/>
  <c r="I345" i="7" l="1"/>
  <c r="C346" i="7" s="1"/>
  <c r="J345" i="7"/>
  <c r="D346" i="7" l="1"/>
  <c r="E346" i="7" l="1"/>
  <c r="F346" i="7" s="1"/>
  <c r="H346" i="7" s="1"/>
  <c r="I346" i="7" l="1"/>
  <c r="C347" i="7" s="1"/>
  <c r="J346" i="7"/>
  <c r="D347" i="7" l="1"/>
  <c r="E347" i="7" l="1"/>
  <c r="F347" i="7" s="1"/>
  <c r="H347" i="7" s="1"/>
  <c r="I347" i="7" l="1"/>
  <c r="C348" i="7" s="1"/>
  <c r="J347" i="7"/>
  <c r="D348" i="7" l="1"/>
  <c r="E348" i="7" l="1"/>
  <c r="F348" i="7" s="1"/>
  <c r="H348" i="7" s="1"/>
  <c r="I348" i="7" l="1"/>
  <c r="C349" i="7" s="1"/>
  <c r="J348" i="7"/>
  <c r="D349" i="7" l="1"/>
  <c r="E349" i="7" l="1"/>
  <c r="F349" i="7" s="1"/>
  <c r="H349" i="7" s="1"/>
  <c r="I349" i="7" l="1"/>
  <c r="C350" i="7" s="1"/>
  <c r="J349" i="7"/>
  <c r="D350" i="7" l="1"/>
  <c r="E350" i="7" l="1"/>
  <c r="F350" i="7" s="1"/>
  <c r="H350" i="7" s="1"/>
  <c r="I350" i="7" l="1"/>
  <c r="C351" i="7" s="1"/>
  <c r="J350" i="7"/>
  <c r="D351" i="7" l="1"/>
  <c r="E351" i="7" l="1"/>
  <c r="F351" i="7" s="1"/>
  <c r="H351" i="7" s="1"/>
  <c r="I351" i="7" l="1"/>
  <c r="C352" i="7" s="1"/>
  <c r="J351" i="7"/>
  <c r="D352" i="7" l="1"/>
  <c r="E352" i="7" l="1"/>
  <c r="F352" i="7" s="1"/>
  <c r="H352" i="7" s="1"/>
  <c r="I352" i="7" l="1"/>
  <c r="C353" i="7" s="1"/>
  <c r="J352" i="7"/>
  <c r="D353" i="7" l="1"/>
  <c r="E353" i="7" l="1"/>
  <c r="F353" i="7" s="1"/>
  <c r="H353" i="7" s="1"/>
  <c r="I353" i="7" l="1"/>
  <c r="C354" i="7" s="1"/>
  <c r="J353" i="7"/>
  <c r="D354" i="7" l="1"/>
  <c r="E354" i="7" l="1"/>
  <c r="F354" i="7" s="1"/>
  <c r="H354" i="7" s="1"/>
  <c r="I354" i="7" l="1"/>
  <c r="C355" i="7" s="1"/>
  <c r="J354" i="7"/>
  <c r="D355" i="7" l="1"/>
  <c r="E355" i="7" l="1"/>
  <c r="F355" i="7" s="1"/>
  <c r="H355" i="7" s="1"/>
  <c r="I355" i="7" l="1"/>
  <c r="C356" i="7" s="1"/>
  <c r="J355" i="7"/>
  <c r="D356" i="7" l="1"/>
  <c r="E356" i="7" l="1"/>
  <c r="F356" i="7" s="1"/>
  <c r="H356" i="7" s="1"/>
  <c r="I356" i="7" l="1"/>
  <c r="C357" i="7" s="1"/>
  <c r="J356" i="7"/>
  <c r="D357" i="7" l="1"/>
  <c r="E357" i="7" l="1"/>
  <c r="F357" i="7" s="1"/>
  <c r="H357" i="7" s="1"/>
  <c r="I357" i="7" l="1"/>
  <c r="C358" i="7" s="1"/>
  <c r="J357" i="7"/>
  <c r="D358" i="7" l="1"/>
  <c r="E358" i="7" l="1"/>
  <c r="F358" i="7" s="1"/>
  <c r="H358" i="7" s="1"/>
  <c r="I358" i="7" l="1"/>
  <c r="C359" i="7" s="1"/>
  <c r="J358" i="7"/>
  <c r="D359" i="7" l="1"/>
  <c r="E359" i="7" l="1"/>
  <c r="F359" i="7" s="1"/>
  <c r="H359" i="7" s="1"/>
  <c r="I359" i="7" l="1"/>
  <c r="C360" i="7" s="1"/>
  <c r="J359" i="7"/>
  <c r="D360" i="7" l="1"/>
  <c r="E360" i="7" l="1"/>
  <c r="F360" i="7" s="1"/>
  <c r="H360" i="7" s="1"/>
  <c r="I360" i="7" l="1"/>
  <c r="C361" i="7" s="1"/>
  <c r="J360" i="7"/>
  <c r="D361" i="7" l="1"/>
  <c r="E361" i="7" l="1"/>
  <c r="F361" i="7" s="1"/>
  <c r="H361" i="7" s="1"/>
  <c r="I361" i="7" l="1"/>
  <c r="C362" i="7" s="1"/>
  <c r="J361" i="7"/>
  <c r="D362" i="7" l="1"/>
  <c r="E362" i="7" l="1"/>
  <c r="F362" i="7" s="1"/>
  <c r="H362" i="7" s="1"/>
  <c r="I362" i="7" l="1"/>
  <c r="C363" i="7" s="1"/>
  <c r="J362" i="7"/>
  <c r="D363" i="7" l="1"/>
  <c r="E363" i="7" l="1"/>
  <c r="F363" i="7" s="1"/>
  <c r="H363" i="7" s="1"/>
  <c r="I363" i="7" l="1"/>
  <c r="C364" i="7" s="1"/>
  <c r="J363" i="7"/>
  <c r="D364" i="7" l="1"/>
  <c r="E364" i="7" l="1"/>
  <c r="F364" i="7" s="1"/>
  <c r="H364" i="7" s="1"/>
  <c r="I364" i="7" l="1"/>
  <c r="C365" i="7" s="1"/>
  <c r="J364" i="7"/>
  <c r="D365" i="7" l="1"/>
  <c r="M5" i="7" l="1"/>
  <c r="B16" i="1" s="1"/>
  <c r="E365" i="7"/>
  <c r="F365" i="7" s="1"/>
  <c r="H365" i="7" s="1"/>
  <c r="I365" i="7" l="1"/>
  <c r="J365" i="7"/>
  <c r="M6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M365 Copilot</author>
  </authors>
  <commentList>
    <comment ref="B4" authorId="0" shapeId="0" xr:uid="{00000000-0006-0000-0300-000001000000}">
      <text>
        <r>
          <rPr>
            <sz val="10"/>
            <rFont val="Arial"/>
            <family val="2"/>
          </rPr>
          <t>Importe acordado de compra. Fuente: dato introducido por el usuario.</t>
        </r>
      </text>
    </comment>
    <comment ref="B5" authorId="0" shapeId="0" xr:uid="{00000000-0006-0000-0300-000002000000}">
      <text>
        <r>
          <rPr>
            <sz val="10"/>
            <rFont val="Arial"/>
            <family val="2"/>
          </rPr>
          <t>Valor de tasación vigente. Fuente: informe de tasación introducido por el usuario.</t>
        </r>
      </text>
    </comment>
    <comment ref="B7" authorId="0" shapeId="0" xr:uid="{00000000-0006-0000-0300-000003000000}">
      <text>
        <r>
          <rPr>
            <sz val="10"/>
            <rFont val="Arial"/>
            <family val="2"/>
          </rPr>
          <t>Porcentaje de financiación ofertado o solicitado. Fuente: dato introducido por el usuario.</t>
        </r>
      </text>
    </comment>
    <comment ref="B9" authorId="0" shapeId="0" xr:uid="{00000000-0006-0000-0300-000004000000}">
      <text>
        <r>
          <rPr>
            <sz val="10"/>
            <rFont val="Arial"/>
            <family val="2"/>
          </rPr>
          <t>Use esta celda si el importe concedido difiere del cálculo automático. Fuente: oferta bancaria.</t>
        </r>
      </text>
    </comment>
    <comment ref="B11" authorId="0" shapeId="0" xr:uid="{00000000-0006-0000-0300-000005000000}">
      <text>
        <r>
          <rPr>
            <sz val="10"/>
            <rFont val="Arial"/>
            <family val="2"/>
          </rPr>
          <t>Plazo contractual. Fuente: oferta bancaria.</t>
        </r>
      </text>
    </comment>
    <comment ref="B12" authorId="0" shapeId="0" xr:uid="{00000000-0006-0000-0300-000006000000}">
      <text>
        <r>
          <rPr>
            <sz val="10"/>
            <rFont val="Arial"/>
            <family val="2"/>
          </rPr>
          <t>Frecuencia de pagos; normalmente 12. Fuente: oferta bancaria.</t>
        </r>
      </text>
    </comment>
    <comment ref="B16" authorId="0" shapeId="0" xr:uid="{00000000-0006-0000-0300-000007000000}">
      <text>
        <r>
          <rPr>
            <sz val="10"/>
            <rFont val="Arial"/>
            <family val="2"/>
          </rPr>
          <t>Seleccione Fijo, Variable o Mixto.</t>
        </r>
      </text>
    </comment>
    <comment ref="B17" authorId="0" shapeId="0" xr:uid="{00000000-0006-0000-0300-000008000000}">
      <text>
        <r>
          <rPr>
            <sz val="10"/>
            <rFont val="Arial"/>
            <family val="2"/>
          </rPr>
          <t>TIN anual usado en la simulación. Para variable/mixto, actualice al tipo vigente o simule escenarios.</t>
        </r>
      </text>
    </comment>
    <comment ref="B18" authorId="0" shapeId="0" xr:uid="{00000000-0006-0000-0300-000009000000}">
      <text>
        <r>
          <rPr>
            <sz val="10"/>
            <rFont val="Arial"/>
            <family val="2"/>
          </rPr>
          <t>TAE de la oferta, solo para comparación; no se usa en el cuadro.</t>
        </r>
      </text>
    </comment>
    <comment ref="B19" authorId="0" shapeId="0" xr:uid="{00000000-0006-0000-0300-00000A000000}">
      <text>
        <r>
          <rPr>
            <sz val="10"/>
            <rFont val="Arial"/>
            <family val="2"/>
          </rPr>
          <t>Fecha prevista para la primera cuota.</t>
        </r>
      </text>
    </comment>
    <comment ref="B21" authorId="0" shapeId="0" xr:uid="{00000000-0006-0000-0300-00000B000000}">
      <text>
        <r>
          <rPr>
            <sz val="10"/>
            <rFont val="Arial"/>
            <family val="2"/>
          </rPr>
          <t>Coste mensual de productos vinculados que quiera incorporar a la carga ampliada.</t>
        </r>
      </text>
    </comment>
    <comment ref="B23" authorId="0" shapeId="0" xr:uid="{00000000-0006-0000-0300-00000C000000}">
      <text>
        <r>
          <rPr>
            <sz val="10"/>
            <rFont val="Arial"/>
            <family val="2"/>
          </rPr>
          <t>El modelo calcula sistema francés de cuota constante.</t>
        </r>
      </text>
    </comment>
    <comment ref="B26" authorId="0" shapeId="0" xr:uid="{00000000-0006-0000-0300-00000D000000}">
      <text>
        <r>
          <rPr>
            <sz val="10"/>
            <rFont val="Arial"/>
            <family val="2"/>
          </rPr>
          <t>Límite interno/orientativo editable; no es una regla legal universal.</t>
        </r>
      </text>
    </comment>
    <comment ref="B27" authorId="0" shapeId="0" xr:uid="{00000000-0006-0000-0300-00000E000000}">
      <text>
        <r>
          <rPr>
            <sz val="10"/>
            <rFont val="Arial"/>
            <family val="2"/>
          </rPr>
          <t>Límite interno/orientativo editable; no es una regla legal universal.</t>
        </r>
      </text>
    </comment>
    <comment ref="B28" authorId="0" shapeId="0" xr:uid="{00000000-0006-0000-0300-00000F000000}">
      <text>
        <r>
          <rPr>
            <sz val="10"/>
            <rFont val="Arial"/>
            <family val="2"/>
          </rPr>
          <t>Ahorro disponible para entrada y gastos. Fuente: dato del cliente.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M365 Copilot</author>
  </authors>
  <commentList>
    <comment ref="B4" authorId="0" shapeId="0" xr:uid="{00000000-0006-0000-0400-000006000000}">
      <text>
        <r>
          <rPr>
            <sz val="10"/>
            <rFont val="Arial"/>
            <family val="2"/>
          </rPr>
          <t>Seleccione 1 o 2 titulares.</t>
        </r>
      </text>
    </comment>
    <comment ref="B8" authorId="0" shapeId="0" xr:uid="{00000000-0006-0000-0400-000007000000}">
      <text>
        <r>
          <rPr>
            <sz val="10"/>
            <rFont val="Arial"/>
            <family val="2"/>
          </rPr>
          <t>Dato aportado por el cliente / documentación acreditativa.</t>
        </r>
      </text>
    </comment>
    <comment ref="C8" authorId="0" shapeId="0" xr:uid="{00000000-0006-0000-0400-000014000000}">
      <text>
        <r>
          <rPr>
            <sz val="10"/>
            <rFont val="Arial"/>
            <family val="2"/>
          </rPr>
          <t>Dato aportado por el cliente / documentación acreditativa.</t>
        </r>
      </text>
    </comment>
    <comment ref="B9" authorId="0" shapeId="0" xr:uid="{00000000-0006-0000-0400-000008000000}">
      <text>
        <r>
          <rPr>
            <sz val="10"/>
            <rFont val="Arial"/>
            <family val="2"/>
          </rPr>
          <t>Dato aportado por el cliente / documentación acreditativa.</t>
        </r>
      </text>
    </comment>
    <comment ref="C9" authorId="0" shapeId="0" xr:uid="{00000000-0006-0000-0400-000015000000}">
      <text>
        <r>
          <rPr>
            <sz val="10"/>
            <rFont val="Arial"/>
            <family val="2"/>
          </rPr>
          <t>Dato aportado por el cliente / documentación acreditativa.</t>
        </r>
      </text>
    </comment>
    <comment ref="B10" authorId="0" shapeId="0" xr:uid="{00000000-0006-0000-0400-000009000000}">
      <text>
        <r>
          <rPr>
            <sz val="10"/>
            <rFont val="Arial"/>
            <family val="2"/>
          </rPr>
          <t>Dato aportado por el cliente / documentación acreditativa.</t>
        </r>
      </text>
    </comment>
    <comment ref="C10" authorId="0" shapeId="0" xr:uid="{00000000-0006-0000-0400-000016000000}">
      <text>
        <r>
          <rPr>
            <sz val="10"/>
            <rFont val="Arial"/>
            <family val="2"/>
          </rPr>
          <t>Dato aportado por el cliente / documentación acreditativa.</t>
        </r>
      </text>
    </comment>
    <comment ref="B11" authorId="0" shapeId="0" xr:uid="{00000000-0006-0000-0400-00000A000000}">
      <text>
        <r>
          <rPr>
            <sz val="10"/>
            <rFont val="Arial"/>
            <family val="2"/>
          </rPr>
          <t>Dato aportado por el cliente / documentación acreditativa.</t>
        </r>
      </text>
    </comment>
    <comment ref="C11" authorId="0" shapeId="0" xr:uid="{00000000-0006-0000-0400-000017000000}">
      <text>
        <r>
          <rPr>
            <sz val="10"/>
            <rFont val="Arial"/>
            <family val="2"/>
          </rPr>
          <t>Dato aportado por el cliente / documentación acreditativa.</t>
        </r>
      </text>
    </comment>
    <comment ref="B12" authorId="0" shapeId="0" xr:uid="{00000000-0006-0000-0400-00000B000000}">
      <text>
        <r>
          <rPr>
            <sz val="10"/>
            <rFont val="Arial"/>
            <family val="2"/>
          </rPr>
          <t>Dato aportado por el cliente / documentación acreditativa.</t>
        </r>
      </text>
    </comment>
    <comment ref="C12" authorId="0" shapeId="0" xr:uid="{00000000-0006-0000-0400-000018000000}">
      <text>
        <r>
          <rPr>
            <sz val="10"/>
            <rFont val="Arial"/>
            <family val="2"/>
          </rPr>
          <t>Dato aportado por el cliente / documentación acreditativa.</t>
        </r>
      </text>
    </comment>
    <comment ref="B13" authorId="0" shapeId="0" xr:uid="{00000000-0006-0000-0400-00000C000000}">
      <text>
        <r>
          <rPr>
            <sz val="10"/>
            <rFont val="Arial"/>
            <family val="2"/>
          </rPr>
          <t>Dato aportado por el cliente / documentación acreditativa.</t>
        </r>
      </text>
    </comment>
    <comment ref="C13" authorId="0" shapeId="0" xr:uid="{00000000-0006-0000-0400-000019000000}">
      <text>
        <r>
          <rPr>
            <sz val="10"/>
            <rFont val="Arial"/>
            <family val="2"/>
          </rPr>
          <t>Dato aportado por el cliente / documentación acreditativa.</t>
        </r>
      </text>
    </comment>
    <comment ref="B19" authorId="0" shapeId="0" xr:uid="{00000000-0006-0000-0400-00000D000000}">
      <text>
        <r>
          <rPr>
            <sz val="10"/>
            <rFont val="Arial"/>
            <family val="2"/>
          </rPr>
          <t>Permite aplicar un recorte prudencial a otros ingresos. 100% = sin recorte.</t>
        </r>
      </text>
    </comment>
    <comment ref="B20" authorId="0" shapeId="0" xr:uid="{00000000-0006-0000-0400-00000E000000}">
      <text>
        <r>
          <rPr>
            <sz val="10"/>
            <rFont val="Arial"/>
            <family val="2"/>
          </rPr>
          <t>Importe mensual de los ingresos variables ya incluidos en las filas 11.</t>
        </r>
      </text>
    </comment>
    <comment ref="A29" authorId="0" shapeId="0" xr:uid="{00000000-0006-0000-0400-000001000000}">
      <text>
        <r>
          <rPr>
            <sz val="10"/>
            <rFont val="Arial"/>
            <family val="2"/>
          </rPr>
          <t>Fuente: información y documentación del cliente.</t>
        </r>
      </text>
    </comment>
    <comment ref="B29" authorId="0" shapeId="0" xr:uid="{00000000-0006-0000-0400-00000F000000}">
      <text>
        <r>
          <rPr>
            <sz val="10"/>
            <rFont val="Arial"/>
            <family val="2"/>
          </rPr>
          <t>Cuota mensual vigente.</t>
        </r>
      </text>
    </comment>
    <comment ref="C29" authorId="0" shapeId="0" xr:uid="{00000000-0006-0000-0400-00001A000000}">
      <text>
        <r>
          <rPr>
            <sz val="10"/>
            <rFont val="Arial"/>
            <family val="2"/>
          </rPr>
          <t>Saldo pendiente informativo.</t>
        </r>
      </text>
    </comment>
    <comment ref="D29" authorId="0" shapeId="0" xr:uid="{00000000-0006-0000-0400-00001F000000}">
      <text>
        <r>
          <rPr>
            <sz val="10"/>
            <rFont val="Arial"/>
            <family val="2"/>
          </rPr>
          <t>Añada vencimiento o contexto relevante.</t>
        </r>
      </text>
    </comment>
    <comment ref="A30" authorId="0" shapeId="0" xr:uid="{00000000-0006-0000-0400-000002000000}">
      <text>
        <r>
          <rPr>
            <sz val="10"/>
            <rFont val="Arial"/>
            <family val="2"/>
          </rPr>
          <t>Fuente: información y documentación del cliente.</t>
        </r>
      </text>
    </comment>
    <comment ref="B30" authorId="0" shapeId="0" xr:uid="{00000000-0006-0000-0400-000010000000}">
      <text>
        <r>
          <rPr>
            <sz val="10"/>
            <rFont val="Arial"/>
            <family val="2"/>
          </rPr>
          <t>Cuota mensual vigente.</t>
        </r>
      </text>
    </comment>
    <comment ref="C30" authorId="0" shapeId="0" xr:uid="{00000000-0006-0000-0400-00001B000000}">
      <text>
        <r>
          <rPr>
            <sz val="10"/>
            <rFont val="Arial"/>
            <family val="2"/>
          </rPr>
          <t>Saldo pendiente informativo.</t>
        </r>
      </text>
    </comment>
    <comment ref="D30" authorId="0" shapeId="0" xr:uid="{00000000-0006-0000-0400-000020000000}">
      <text>
        <r>
          <rPr>
            <sz val="10"/>
            <rFont val="Arial"/>
            <family val="2"/>
          </rPr>
          <t>Añada vencimiento o contexto relevante.</t>
        </r>
      </text>
    </comment>
    <comment ref="A31" authorId="0" shapeId="0" xr:uid="{00000000-0006-0000-0400-000003000000}">
      <text>
        <r>
          <rPr>
            <sz val="10"/>
            <rFont val="Arial"/>
            <family val="2"/>
          </rPr>
          <t>Fuente: información y documentación del cliente.</t>
        </r>
      </text>
    </comment>
    <comment ref="B31" authorId="0" shapeId="0" xr:uid="{00000000-0006-0000-0400-000011000000}">
      <text>
        <r>
          <rPr>
            <sz val="10"/>
            <rFont val="Arial"/>
            <family val="2"/>
          </rPr>
          <t>Cuota mensual vigente.</t>
        </r>
      </text>
    </comment>
    <comment ref="C31" authorId="0" shapeId="0" xr:uid="{00000000-0006-0000-0400-00001C000000}">
      <text>
        <r>
          <rPr>
            <sz val="10"/>
            <rFont val="Arial"/>
            <family val="2"/>
          </rPr>
          <t>Saldo pendiente informativo.</t>
        </r>
      </text>
    </comment>
    <comment ref="D31" authorId="0" shapeId="0" xr:uid="{00000000-0006-0000-0400-000021000000}">
      <text>
        <r>
          <rPr>
            <sz val="10"/>
            <rFont val="Arial"/>
            <family val="2"/>
          </rPr>
          <t>Añada vencimiento o contexto relevante.</t>
        </r>
      </text>
    </comment>
    <comment ref="A32" authorId="0" shapeId="0" xr:uid="{00000000-0006-0000-0400-000004000000}">
      <text>
        <r>
          <rPr>
            <sz val="10"/>
            <rFont val="Arial"/>
            <family val="2"/>
          </rPr>
          <t>Fuente: información y documentación del cliente.</t>
        </r>
      </text>
    </comment>
    <comment ref="B32" authorId="0" shapeId="0" xr:uid="{00000000-0006-0000-0400-000012000000}">
      <text>
        <r>
          <rPr>
            <sz val="10"/>
            <rFont val="Arial"/>
            <family val="2"/>
          </rPr>
          <t>Fila incluida en total de otras cuotas.</t>
        </r>
      </text>
    </comment>
    <comment ref="C32" authorId="0" shapeId="0" xr:uid="{00000000-0006-0000-0400-00001D000000}">
      <text>
        <r>
          <rPr>
            <sz val="10"/>
            <rFont val="Arial"/>
            <family val="2"/>
          </rPr>
          <t>Saldo pendiente informativo.</t>
        </r>
      </text>
    </comment>
    <comment ref="D32" authorId="0" shapeId="0" xr:uid="{00000000-0006-0000-0400-000022000000}">
      <text>
        <r>
          <rPr>
            <sz val="10"/>
            <rFont val="Arial"/>
            <family val="2"/>
          </rPr>
          <t>Añada vencimiento o contexto relevante.</t>
        </r>
      </text>
    </comment>
    <comment ref="A33" authorId="0" shapeId="0" xr:uid="{00000000-0006-0000-0400-000005000000}">
      <text>
        <r>
          <rPr>
            <sz val="10"/>
            <rFont val="Arial"/>
            <family val="2"/>
          </rPr>
          <t>Fuente: información y documentación del cliente.</t>
        </r>
      </text>
    </comment>
    <comment ref="B33" authorId="0" shapeId="0" xr:uid="{00000000-0006-0000-0400-000013000000}">
      <text>
        <r>
          <rPr>
            <sz val="10"/>
            <rFont val="Arial"/>
            <family val="2"/>
          </rPr>
          <t>Cuota mensual vigente.</t>
        </r>
      </text>
    </comment>
    <comment ref="C33" authorId="0" shapeId="0" xr:uid="{00000000-0006-0000-0400-00001E000000}">
      <text>
        <r>
          <rPr>
            <sz val="10"/>
            <rFont val="Arial"/>
            <family val="2"/>
          </rPr>
          <t>Saldo pendiente informativo.</t>
        </r>
      </text>
    </comment>
    <comment ref="D33" authorId="0" shapeId="0" xr:uid="{00000000-0006-0000-0400-000023000000}">
      <text>
        <r>
          <rPr>
            <sz val="10"/>
            <rFont val="Arial"/>
            <family val="2"/>
          </rPr>
          <t>Añada vencimiento o contexto relevante.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M365 Copilot</author>
  </authors>
  <commentList>
    <comment ref="B5" authorId="0" shapeId="0" xr:uid="{00000000-0006-0000-0500-000001000000}">
      <text>
        <r>
          <rPr>
            <sz val="10"/>
            <rFont val="Arial"/>
            <family val="2"/>
          </rPr>
          <t>Estimación editable; compruebe el importe aplicable a la operación concreta.</t>
        </r>
      </text>
    </comment>
    <comment ref="B7" authorId="0" shapeId="0" xr:uid="{00000000-0006-0000-0500-000002000000}">
      <text>
        <r>
          <rPr>
            <sz val="10"/>
            <rFont val="Arial"/>
            <family val="2"/>
          </rPr>
          <t>Estimación editable; compruebe el importe aplicable a la operación concreta.</t>
        </r>
      </text>
    </comment>
    <comment ref="B8" authorId="0" shapeId="0" xr:uid="{00000000-0006-0000-0500-000003000000}">
      <text>
        <r>
          <rPr>
            <sz val="10"/>
            <rFont val="Arial"/>
            <family val="2"/>
          </rPr>
          <t>Estimación editable; compruebe el importe aplicable a la operación concreta.</t>
        </r>
      </text>
    </comment>
    <comment ref="B9" authorId="0" shapeId="0" xr:uid="{00000000-0006-0000-0500-000004000000}">
      <text>
        <r>
          <rPr>
            <sz val="10"/>
            <rFont val="Arial"/>
            <family val="2"/>
          </rPr>
          <t>Estimación editable; compruebe el importe aplicable a la operación concreta.</t>
        </r>
      </text>
    </comment>
    <comment ref="B10" authorId="0" shapeId="0" xr:uid="{00000000-0006-0000-0500-000005000000}">
      <text>
        <r>
          <rPr>
            <sz val="10"/>
            <rFont val="Arial"/>
            <family val="2"/>
          </rPr>
          <t>Estimación editable; compruebe el importe aplicable a la operación concreta.</t>
        </r>
      </text>
    </comment>
    <comment ref="B11" authorId="0" shapeId="0" xr:uid="{00000000-0006-0000-0500-000006000000}">
      <text>
        <r>
          <rPr>
            <sz val="10"/>
            <rFont val="Arial"/>
            <family val="2"/>
          </rPr>
          <t>Estimación editable; compruebe el importe aplicable a la operación concreta.</t>
        </r>
      </text>
    </comment>
    <comment ref="B15" authorId="0" shapeId="0" xr:uid="{00000000-0006-0000-0500-000007000000}">
      <text>
        <r>
          <rPr>
            <sz val="10"/>
            <rFont val="Arial"/>
            <family val="2"/>
          </rPr>
          <t>Estimación u oferta bancaria introducida por el usuario.</t>
        </r>
      </text>
    </comment>
    <comment ref="B16" authorId="0" shapeId="0" xr:uid="{00000000-0006-0000-0500-000008000000}">
      <text>
        <r>
          <rPr>
            <sz val="10"/>
            <rFont val="Arial"/>
            <family val="2"/>
          </rPr>
          <t>Estimación u oferta bancaria introducida por el usuario.</t>
        </r>
      </text>
    </comment>
    <comment ref="B18" authorId="0" shapeId="0" xr:uid="{00000000-0006-0000-0500-000009000000}">
      <text>
        <r>
          <rPr>
            <sz val="10"/>
            <rFont val="Arial"/>
            <family val="2"/>
          </rPr>
          <t>Estimación u oferta bancaria introducida por el usuario.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M365 Copilot</author>
  </authors>
  <commentList>
    <comment ref="G6" authorId="0" shapeId="0" xr:uid="{00000000-0006-0000-0600-000001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7" authorId="0" shapeId="0" xr:uid="{00000000-0006-0000-0600-000002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8" authorId="0" shapeId="0" xr:uid="{00000000-0006-0000-0600-000003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9" authorId="0" shapeId="0" xr:uid="{00000000-0006-0000-0600-000004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0" authorId="0" shapeId="0" xr:uid="{00000000-0006-0000-0600-000005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1" authorId="0" shapeId="0" xr:uid="{00000000-0006-0000-0600-000006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2" authorId="0" shapeId="0" xr:uid="{00000000-0006-0000-0600-000007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3" authorId="0" shapeId="0" xr:uid="{00000000-0006-0000-0600-000008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4" authorId="0" shapeId="0" xr:uid="{00000000-0006-0000-0600-000009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5" authorId="0" shapeId="0" xr:uid="{00000000-0006-0000-0600-00000A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6" authorId="0" shapeId="0" xr:uid="{00000000-0006-0000-0600-00000B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7" authorId="0" shapeId="0" xr:uid="{00000000-0006-0000-0600-00000C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8" authorId="0" shapeId="0" xr:uid="{00000000-0006-0000-0600-00000D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9" authorId="0" shapeId="0" xr:uid="{00000000-0006-0000-0600-00000E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0" authorId="0" shapeId="0" xr:uid="{00000000-0006-0000-0600-00000F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1" authorId="0" shapeId="0" xr:uid="{00000000-0006-0000-0600-000010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2" authorId="0" shapeId="0" xr:uid="{00000000-0006-0000-0600-000011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3" authorId="0" shapeId="0" xr:uid="{00000000-0006-0000-0600-000012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4" authorId="0" shapeId="0" xr:uid="{00000000-0006-0000-0600-000013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5" authorId="0" shapeId="0" xr:uid="{00000000-0006-0000-0600-000014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6" authorId="0" shapeId="0" xr:uid="{00000000-0006-0000-0600-000015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7" authorId="0" shapeId="0" xr:uid="{00000000-0006-0000-0600-000016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8" authorId="0" shapeId="0" xr:uid="{00000000-0006-0000-0600-000017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9" authorId="0" shapeId="0" xr:uid="{00000000-0006-0000-0600-000018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0" authorId="0" shapeId="0" xr:uid="{00000000-0006-0000-0600-000019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1" authorId="0" shapeId="0" xr:uid="{00000000-0006-0000-0600-00001A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2" authorId="0" shapeId="0" xr:uid="{00000000-0006-0000-0600-00001B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3" authorId="0" shapeId="0" xr:uid="{00000000-0006-0000-0600-00001C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4" authorId="0" shapeId="0" xr:uid="{00000000-0006-0000-0600-00001D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5" authorId="0" shapeId="0" xr:uid="{00000000-0006-0000-0600-00001E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6" authorId="0" shapeId="0" xr:uid="{00000000-0006-0000-0600-00001F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7" authorId="0" shapeId="0" xr:uid="{00000000-0006-0000-0600-000020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8" authorId="0" shapeId="0" xr:uid="{00000000-0006-0000-0600-000021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9" authorId="0" shapeId="0" xr:uid="{00000000-0006-0000-0600-000022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0" authorId="0" shapeId="0" xr:uid="{00000000-0006-0000-0600-000023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1" authorId="0" shapeId="0" xr:uid="{00000000-0006-0000-0600-000024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2" authorId="0" shapeId="0" xr:uid="{00000000-0006-0000-0600-000025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3" authorId="0" shapeId="0" xr:uid="{00000000-0006-0000-0600-000026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4" authorId="0" shapeId="0" xr:uid="{00000000-0006-0000-0600-000027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5" authorId="0" shapeId="0" xr:uid="{00000000-0006-0000-0600-000028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6" authorId="0" shapeId="0" xr:uid="{00000000-0006-0000-0600-000029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7" authorId="0" shapeId="0" xr:uid="{00000000-0006-0000-0600-00002A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8" authorId="0" shapeId="0" xr:uid="{00000000-0006-0000-0600-00002B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9" authorId="0" shapeId="0" xr:uid="{00000000-0006-0000-0600-00002C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0" authorId="0" shapeId="0" xr:uid="{00000000-0006-0000-0600-00002D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1" authorId="0" shapeId="0" xr:uid="{00000000-0006-0000-0600-00002E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2" authorId="0" shapeId="0" xr:uid="{00000000-0006-0000-0600-00002F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3" authorId="0" shapeId="0" xr:uid="{00000000-0006-0000-0600-000030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4" authorId="0" shapeId="0" xr:uid="{00000000-0006-0000-0600-000031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5" authorId="0" shapeId="0" xr:uid="{00000000-0006-0000-0600-000032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6" authorId="0" shapeId="0" xr:uid="{00000000-0006-0000-0600-000033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7" authorId="0" shapeId="0" xr:uid="{00000000-0006-0000-0600-000034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8" authorId="0" shapeId="0" xr:uid="{00000000-0006-0000-0600-000035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9" authorId="0" shapeId="0" xr:uid="{00000000-0006-0000-0600-000036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60" authorId="0" shapeId="0" xr:uid="{00000000-0006-0000-0600-000037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61" authorId="0" shapeId="0" xr:uid="{00000000-0006-0000-0600-000038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62" authorId="0" shapeId="0" xr:uid="{00000000-0006-0000-0600-000039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63" authorId="0" shapeId="0" xr:uid="{00000000-0006-0000-0600-00003A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64" authorId="0" shapeId="0" xr:uid="{00000000-0006-0000-0600-00003B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65" authorId="0" shapeId="0" xr:uid="{00000000-0006-0000-0600-00003C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66" authorId="0" shapeId="0" xr:uid="{00000000-0006-0000-0600-00003D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67" authorId="0" shapeId="0" xr:uid="{00000000-0006-0000-0600-00003E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68" authorId="0" shapeId="0" xr:uid="{00000000-0006-0000-0600-00003F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69" authorId="0" shapeId="0" xr:uid="{00000000-0006-0000-0600-000040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70" authorId="0" shapeId="0" xr:uid="{00000000-0006-0000-0600-000041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71" authorId="0" shapeId="0" xr:uid="{00000000-0006-0000-0600-000042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72" authorId="0" shapeId="0" xr:uid="{00000000-0006-0000-0600-000043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73" authorId="0" shapeId="0" xr:uid="{00000000-0006-0000-0600-000044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74" authorId="0" shapeId="0" xr:uid="{00000000-0006-0000-0600-000045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75" authorId="0" shapeId="0" xr:uid="{00000000-0006-0000-0600-000046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76" authorId="0" shapeId="0" xr:uid="{00000000-0006-0000-0600-000047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77" authorId="0" shapeId="0" xr:uid="{00000000-0006-0000-0600-000048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78" authorId="0" shapeId="0" xr:uid="{00000000-0006-0000-0600-000049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79" authorId="0" shapeId="0" xr:uid="{00000000-0006-0000-0600-00004A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80" authorId="0" shapeId="0" xr:uid="{00000000-0006-0000-0600-00004B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81" authorId="0" shapeId="0" xr:uid="{00000000-0006-0000-0600-00004C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82" authorId="0" shapeId="0" xr:uid="{00000000-0006-0000-0600-00004D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83" authorId="0" shapeId="0" xr:uid="{00000000-0006-0000-0600-00004E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84" authorId="0" shapeId="0" xr:uid="{00000000-0006-0000-0600-00004F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85" authorId="0" shapeId="0" xr:uid="{00000000-0006-0000-0600-000050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86" authorId="0" shapeId="0" xr:uid="{00000000-0006-0000-0600-000051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87" authorId="0" shapeId="0" xr:uid="{00000000-0006-0000-0600-000052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88" authorId="0" shapeId="0" xr:uid="{00000000-0006-0000-0600-000053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89" authorId="0" shapeId="0" xr:uid="{00000000-0006-0000-0600-000054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90" authorId="0" shapeId="0" xr:uid="{00000000-0006-0000-0600-000055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91" authorId="0" shapeId="0" xr:uid="{00000000-0006-0000-0600-000056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92" authorId="0" shapeId="0" xr:uid="{00000000-0006-0000-0600-000057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93" authorId="0" shapeId="0" xr:uid="{00000000-0006-0000-0600-000058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94" authorId="0" shapeId="0" xr:uid="{00000000-0006-0000-0600-000059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95" authorId="0" shapeId="0" xr:uid="{00000000-0006-0000-0600-00005A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96" authorId="0" shapeId="0" xr:uid="{00000000-0006-0000-0600-00005B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97" authorId="0" shapeId="0" xr:uid="{00000000-0006-0000-0600-00005C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98" authorId="0" shapeId="0" xr:uid="{00000000-0006-0000-0600-00005D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99" authorId="0" shapeId="0" xr:uid="{00000000-0006-0000-0600-00005E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00" authorId="0" shapeId="0" xr:uid="{00000000-0006-0000-0600-00005F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01" authorId="0" shapeId="0" xr:uid="{00000000-0006-0000-0600-000060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02" authorId="0" shapeId="0" xr:uid="{00000000-0006-0000-0600-000061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03" authorId="0" shapeId="0" xr:uid="{00000000-0006-0000-0600-000062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04" authorId="0" shapeId="0" xr:uid="{00000000-0006-0000-0600-000063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05" authorId="0" shapeId="0" xr:uid="{00000000-0006-0000-0600-000064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06" authorId="0" shapeId="0" xr:uid="{00000000-0006-0000-0600-000065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07" authorId="0" shapeId="0" xr:uid="{00000000-0006-0000-0600-000066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08" authorId="0" shapeId="0" xr:uid="{00000000-0006-0000-0600-000067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09" authorId="0" shapeId="0" xr:uid="{00000000-0006-0000-0600-000068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10" authorId="0" shapeId="0" xr:uid="{00000000-0006-0000-0600-000069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11" authorId="0" shapeId="0" xr:uid="{00000000-0006-0000-0600-00006A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12" authorId="0" shapeId="0" xr:uid="{00000000-0006-0000-0600-00006B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13" authorId="0" shapeId="0" xr:uid="{00000000-0006-0000-0600-00006C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14" authorId="0" shapeId="0" xr:uid="{00000000-0006-0000-0600-00006D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15" authorId="0" shapeId="0" xr:uid="{00000000-0006-0000-0600-00006E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16" authorId="0" shapeId="0" xr:uid="{00000000-0006-0000-0600-00006F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17" authorId="0" shapeId="0" xr:uid="{00000000-0006-0000-0600-000070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18" authorId="0" shapeId="0" xr:uid="{00000000-0006-0000-0600-000071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19" authorId="0" shapeId="0" xr:uid="{00000000-0006-0000-0600-000072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20" authorId="0" shapeId="0" xr:uid="{00000000-0006-0000-0600-000073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21" authorId="0" shapeId="0" xr:uid="{00000000-0006-0000-0600-000074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22" authorId="0" shapeId="0" xr:uid="{00000000-0006-0000-0600-000075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23" authorId="0" shapeId="0" xr:uid="{00000000-0006-0000-0600-000076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24" authorId="0" shapeId="0" xr:uid="{00000000-0006-0000-0600-000077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25" authorId="0" shapeId="0" xr:uid="{00000000-0006-0000-0600-000078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26" authorId="0" shapeId="0" xr:uid="{00000000-0006-0000-0600-000079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27" authorId="0" shapeId="0" xr:uid="{00000000-0006-0000-0600-00007A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28" authorId="0" shapeId="0" xr:uid="{00000000-0006-0000-0600-00007B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29" authorId="0" shapeId="0" xr:uid="{00000000-0006-0000-0600-00007C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30" authorId="0" shapeId="0" xr:uid="{00000000-0006-0000-0600-00007D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31" authorId="0" shapeId="0" xr:uid="{00000000-0006-0000-0600-00007E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32" authorId="0" shapeId="0" xr:uid="{00000000-0006-0000-0600-00007F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33" authorId="0" shapeId="0" xr:uid="{00000000-0006-0000-0600-000080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34" authorId="0" shapeId="0" xr:uid="{00000000-0006-0000-0600-000081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35" authorId="0" shapeId="0" xr:uid="{00000000-0006-0000-0600-000082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36" authorId="0" shapeId="0" xr:uid="{00000000-0006-0000-0600-000083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37" authorId="0" shapeId="0" xr:uid="{00000000-0006-0000-0600-000084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38" authorId="0" shapeId="0" xr:uid="{00000000-0006-0000-0600-000085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39" authorId="0" shapeId="0" xr:uid="{00000000-0006-0000-0600-000086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40" authorId="0" shapeId="0" xr:uid="{00000000-0006-0000-0600-000087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41" authorId="0" shapeId="0" xr:uid="{00000000-0006-0000-0600-000088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42" authorId="0" shapeId="0" xr:uid="{00000000-0006-0000-0600-000089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43" authorId="0" shapeId="0" xr:uid="{00000000-0006-0000-0600-00008A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44" authorId="0" shapeId="0" xr:uid="{00000000-0006-0000-0600-00008B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45" authorId="0" shapeId="0" xr:uid="{00000000-0006-0000-0600-00008C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46" authorId="0" shapeId="0" xr:uid="{00000000-0006-0000-0600-00008D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47" authorId="0" shapeId="0" xr:uid="{00000000-0006-0000-0600-00008E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48" authorId="0" shapeId="0" xr:uid="{00000000-0006-0000-0600-00008F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49" authorId="0" shapeId="0" xr:uid="{00000000-0006-0000-0600-000090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50" authorId="0" shapeId="0" xr:uid="{00000000-0006-0000-0600-000091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51" authorId="0" shapeId="0" xr:uid="{00000000-0006-0000-0600-000092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52" authorId="0" shapeId="0" xr:uid="{00000000-0006-0000-0600-000093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53" authorId="0" shapeId="0" xr:uid="{00000000-0006-0000-0600-000094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54" authorId="0" shapeId="0" xr:uid="{00000000-0006-0000-0600-000095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55" authorId="0" shapeId="0" xr:uid="{00000000-0006-0000-0600-000096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56" authorId="0" shapeId="0" xr:uid="{00000000-0006-0000-0600-000097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57" authorId="0" shapeId="0" xr:uid="{00000000-0006-0000-0600-000098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58" authorId="0" shapeId="0" xr:uid="{00000000-0006-0000-0600-000099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59" authorId="0" shapeId="0" xr:uid="{00000000-0006-0000-0600-00009A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60" authorId="0" shapeId="0" xr:uid="{00000000-0006-0000-0600-00009B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61" authorId="0" shapeId="0" xr:uid="{00000000-0006-0000-0600-00009C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62" authorId="0" shapeId="0" xr:uid="{00000000-0006-0000-0600-00009D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63" authorId="0" shapeId="0" xr:uid="{00000000-0006-0000-0600-00009E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64" authorId="0" shapeId="0" xr:uid="{00000000-0006-0000-0600-00009F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65" authorId="0" shapeId="0" xr:uid="{00000000-0006-0000-0600-0000A0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66" authorId="0" shapeId="0" xr:uid="{00000000-0006-0000-0600-0000A1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67" authorId="0" shapeId="0" xr:uid="{00000000-0006-0000-0600-0000A2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68" authorId="0" shapeId="0" xr:uid="{00000000-0006-0000-0600-0000A3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69" authorId="0" shapeId="0" xr:uid="{00000000-0006-0000-0600-0000A4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70" authorId="0" shapeId="0" xr:uid="{00000000-0006-0000-0600-0000A5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71" authorId="0" shapeId="0" xr:uid="{00000000-0006-0000-0600-0000A6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72" authorId="0" shapeId="0" xr:uid="{00000000-0006-0000-0600-0000A7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73" authorId="0" shapeId="0" xr:uid="{00000000-0006-0000-0600-0000A8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74" authorId="0" shapeId="0" xr:uid="{00000000-0006-0000-0600-0000A9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75" authorId="0" shapeId="0" xr:uid="{00000000-0006-0000-0600-0000AA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76" authorId="0" shapeId="0" xr:uid="{00000000-0006-0000-0600-0000AB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77" authorId="0" shapeId="0" xr:uid="{00000000-0006-0000-0600-0000AC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78" authorId="0" shapeId="0" xr:uid="{00000000-0006-0000-0600-0000AD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79" authorId="0" shapeId="0" xr:uid="{00000000-0006-0000-0600-0000AE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80" authorId="0" shapeId="0" xr:uid="{00000000-0006-0000-0600-0000AF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81" authorId="0" shapeId="0" xr:uid="{00000000-0006-0000-0600-0000B0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82" authorId="0" shapeId="0" xr:uid="{00000000-0006-0000-0600-0000B1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83" authorId="0" shapeId="0" xr:uid="{00000000-0006-0000-0600-0000B2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84" authorId="0" shapeId="0" xr:uid="{00000000-0006-0000-0600-0000B3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85" authorId="0" shapeId="0" xr:uid="{00000000-0006-0000-0600-0000B4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86" authorId="0" shapeId="0" xr:uid="{00000000-0006-0000-0600-0000B5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87" authorId="0" shapeId="0" xr:uid="{00000000-0006-0000-0600-0000B6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88" authorId="0" shapeId="0" xr:uid="{00000000-0006-0000-0600-0000B7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89" authorId="0" shapeId="0" xr:uid="{00000000-0006-0000-0600-0000B8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90" authorId="0" shapeId="0" xr:uid="{00000000-0006-0000-0600-0000B9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91" authorId="0" shapeId="0" xr:uid="{00000000-0006-0000-0600-0000BA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92" authorId="0" shapeId="0" xr:uid="{00000000-0006-0000-0600-0000BB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93" authorId="0" shapeId="0" xr:uid="{00000000-0006-0000-0600-0000BC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94" authorId="0" shapeId="0" xr:uid="{00000000-0006-0000-0600-0000BD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95" authorId="0" shapeId="0" xr:uid="{00000000-0006-0000-0600-0000BE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96" authorId="0" shapeId="0" xr:uid="{00000000-0006-0000-0600-0000BF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97" authorId="0" shapeId="0" xr:uid="{00000000-0006-0000-0600-0000C0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98" authorId="0" shapeId="0" xr:uid="{00000000-0006-0000-0600-0000C1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199" authorId="0" shapeId="0" xr:uid="{00000000-0006-0000-0600-0000C2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00" authorId="0" shapeId="0" xr:uid="{00000000-0006-0000-0600-0000C3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01" authorId="0" shapeId="0" xr:uid="{00000000-0006-0000-0600-0000C4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02" authorId="0" shapeId="0" xr:uid="{00000000-0006-0000-0600-0000C5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03" authorId="0" shapeId="0" xr:uid="{00000000-0006-0000-0600-0000C6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04" authorId="0" shapeId="0" xr:uid="{00000000-0006-0000-0600-0000C7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05" authorId="0" shapeId="0" xr:uid="{00000000-0006-0000-0600-0000C8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06" authorId="0" shapeId="0" xr:uid="{00000000-0006-0000-0600-0000C9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07" authorId="0" shapeId="0" xr:uid="{00000000-0006-0000-0600-0000CA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08" authorId="0" shapeId="0" xr:uid="{00000000-0006-0000-0600-0000CB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09" authorId="0" shapeId="0" xr:uid="{00000000-0006-0000-0600-0000CC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10" authorId="0" shapeId="0" xr:uid="{00000000-0006-0000-0600-0000CD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11" authorId="0" shapeId="0" xr:uid="{00000000-0006-0000-0600-0000CE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12" authorId="0" shapeId="0" xr:uid="{00000000-0006-0000-0600-0000CF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13" authorId="0" shapeId="0" xr:uid="{00000000-0006-0000-0600-0000D0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14" authorId="0" shapeId="0" xr:uid="{00000000-0006-0000-0600-0000D1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15" authorId="0" shapeId="0" xr:uid="{00000000-0006-0000-0600-0000D2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16" authorId="0" shapeId="0" xr:uid="{00000000-0006-0000-0600-0000D3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17" authorId="0" shapeId="0" xr:uid="{00000000-0006-0000-0600-0000D4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18" authorId="0" shapeId="0" xr:uid="{00000000-0006-0000-0600-0000D5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19" authorId="0" shapeId="0" xr:uid="{00000000-0006-0000-0600-0000D6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20" authorId="0" shapeId="0" xr:uid="{00000000-0006-0000-0600-0000D7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21" authorId="0" shapeId="0" xr:uid="{00000000-0006-0000-0600-0000D8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22" authorId="0" shapeId="0" xr:uid="{00000000-0006-0000-0600-0000D9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23" authorId="0" shapeId="0" xr:uid="{00000000-0006-0000-0600-0000DA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24" authorId="0" shapeId="0" xr:uid="{00000000-0006-0000-0600-0000DB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25" authorId="0" shapeId="0" xr:uid="{00000000-0006-0000-0600-0000DC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26" authorId="0" shapeId="0" xr:uid="{00000000-0006-0000-0600-0000DD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27" authorId="0" shapeId="0" xr:uid="{00000000-0006-0000-0600-0000DE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28" authorId="0" shapeId="0" xr:uid="{00000000-0006-0000-0600-0000DF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29" authorId="0" shapeId="0" xr:uid="{00000000-0006-0000-0600-0000E0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30" authorId="0" shapeId="0" xr:uid="{00000000-0006-0000-0600-0000E1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31" authorId="0" shapeId="0" xr:uid="{00000000-0006-0000-0600-0000E2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32" authorId="0" shapeId="0" xr:uid="{00000000-0006-0000-0600-0000E3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33" authorId="0" shapeId="0" xr:uid="{00000000-0006-0000-0600-0000E4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34" authorId="0" shapeId="0" xr:uid="{00000000-0006-0000-0600-0000E5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35" authorId="0" shapeId="0" xr:uid="{00000000-0006-0000-0600-0000E6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36" authorId="0" shapeId="0" xr:uid="{00000000-0006-0000-0600-0000E7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37" authorId="0" shapeId="0" xr:uid="{00000000-0006-0000-0600-0000E8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38" authorId="0" shapeId="0" xr:uid="{00000000-0006-0000-0600-0000E9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39" authorId="0" shapeId="0" xr:uid="{00000000-0006-0000-0600-0000EA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40" authorId="0" shapeId="0" xr:uid="{00000000-0006-0000-0600-0000EB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41" authorId="0" shapeId="0" xr:uid="{00000000-0006-0000-0600-0000EC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42" authorId="0" shapeId="0" xr:uid="{00000000-0006-0000-0600-0000ED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43" authorId="0" shapeId="0" xr:uid="{00000000-0006-0000-0600-0000EE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44" authorId="0" shapeId="0" xr:uid="{00000000-0006-0000-0600-0000EF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45" authorId="0" shapeId="0" xr:uid="{00000000-0006-0000-0600-0000F0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46" authorId="0" shapeId="0" xr:uid="{00000000-0006-0000-0600-0000F1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47" authorId="0" shapeId="0" xr:uid="{00000000-0006-0000-0600-0000F2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48" authorId="0" shapeId="0" xr:uid="{00000000-0006-0000-0600-0000F3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49" authorId="0" shapeId="0" xr:uid="{00000000-0006-0000-0600-0000F4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50" authorId="0" shapeId="0" xr:uid="{00000000-0006-0000-0600-0000F5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51" authorId="0" shapeId="0" xr:uid="{00000000-0006-0000-0600-0000F6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52" authorId="0" shapeId="0" xr:uid="{00000000-0006-0000-0600-0000F7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53" authorId="0" shapeId="0" xr:uid="{00000000-0006-0000-0600-0000F8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54" authorId="0" shapeId="0" xr:uid="{00000000-0006-0000-0600-0000F9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55" authorId="0" shapeId="0" xr:uid="{00000000-0006-0000-0600-0000FA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56" authorId="0" shapeId="0" xr:uid="{00000000-0006-0000-0600-0000FB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57" authorId="0" shapeId="0" xr:uid="{00000000-0006-0000-0600-0000FC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58" authorId="0" shapeId="0" xr:uid="{00000000-0006-0000-0600-0000FD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59" authorId="0" shapeId="0" xr:uid="{00000000-0006-0000-0600-0000FE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60" authorId="0" shapeId="0" xr:uid="{00000000-0006-0000-0600-0000FF00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61" authorId="0" shapeId="0" xr:uid="{00000000-0006-0000-0600-000000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62" authorId="0" shapeId="0" xr:uid="{00000000-0006-0000-0600-000001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63" authorId="0" shapeId="0" xr:uid="{00000000-0006-0000-0600-000002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64" authorId="0" shapeId="0" xr:uid="{00000000-0006-0000-0600-000003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65" authorId="0" shapeId="0" xr:uid="{00000000-0006-0000-0600-000004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66" authorId="0" shapeId="0" xr:uid="{00000000-0006-0000-0600-000005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67" authorId="0" shapeId="0" xr:uid="{00000000-0006-0000-0600-000006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68" authorId="0" shapeId="0" xr:uid="{00000000-0006-0000-0600-000007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69" authorId="0" shapeId="0" xr:uid="{00000000-0006-0000-0600-000008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70" authorId="0" shapeId="0" xr:uid="{00000000-0006-0000-0600-000009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71" authorId="0" shapeId="0" xr:uid="{00000000-0006-0000-0600-00000A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72" authorId="0" shapeId="0" xr:uid="{00000000-0006-0000-0600-00000B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73" authorId="0" shapeId="0" xr:uid="{00000000-0006-0000-0600-00000C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74" authorId="0" shapeId="0" xr:uid="{00000000-0006-0000-0600-00000D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75" authorId="0" shapeId="0" xr:uid="{00000000-0006-0000-0600-00000E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76" authorId="0" shapeId="0" xr:uid="{00000000-0006-0000-0600-00000F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77" authorId="0" shapeId="0" xr:uid="{00000000-0006-0000-0600-000010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78" authorId="0" shapeId="0" xr:uid="{00000000-0006-0000-0600-000011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79" authorId="0" shapeId="0" xr:uid="{00000000-0006-0000-0600-000012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80" authorId="0" shapeId="0" xr:uid="{00000000-0006-0000-0600-000013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81" authorId="0" shapeId="0" xr:uid="{00000000-0006-0000-0600-000014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82" authorId="0" shapeId="0" xr:uid="{00000000-0006-0000-0600-000015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83" authorId="0" shapeId="0" xr:uid="{00000000-0006-0000-0600-000016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84" authorId="0" shapeId="0" xr:uid="{00000000-0006-0000-0600-000017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85" authorId="0" shapeId="0" xr:uid="{00000000-0006-0000-0600-000018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86" authorId="0" shapeId="0" xr:uid="{00000000-0006-0000-0600-000019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87" authorId="0" shapeId="0" xr:uid="{00000000-0006-0000-0600-00001A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88" authorId="0" shapeId="0" xr:uid="{00000000-0006-0000-0600-00001B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89" authorId="0" shapeId="0" xr:uid="{00000000-0006-0000-0600-00001C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90" authorId="0" shapeId="0" xr:uid="{00000000-0006-0000-0600-00001D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91" authorId="0" shapeId="0" xr:uid="{00000000-0006-0000-0600-00001E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92" authorId="0" shapeId="0" xr:uid="{00000000-0006-0000-0600-00001F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93" authorId="0" shapeId="0" xr:uid="{00000000-0006-0000-0600-000020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94" authorId="0" shapeId="0" xr:uid="{00000000-0006-0000-0600-000021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95" authorId="0" shapeId="0" xr:uid="{00000000-0006-0000-0600-000022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96" authorId="0" shapeId="0" xr:uid="{00000000-0006-0000-0600-000023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97" authorId="0" shapeId="0" xr:uid="{00000000-0006-0000-0600-000024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98" authorId="0" shapeId="0" xr:uid="{00000000-0006-0000-0600-000025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299" authorId="0" shapeId="0" xr:uid="{00000000-0006-0000-0600-000026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00" authorId="0" shapeId="0" xr:uid="{00000000-0006-0000-0600-000027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01" authorId="0" shapeId="0" xr:uid="{00000000-0006-0000-0600-000028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02" authorId="0" shapeId="0" xr:uid="{00000000-0006-0000-0600-000029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03" authorId="0" shapeId="0" xr:uid="{00000000-0006-0000-0600-00002A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04" authorId="0" shapeId="0" xr:uid="{00000000-0006-0000-0600-00002B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05" authorId="0" shapeId="0" xr:uid="{00000000-0006-0000-0600-00002C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06" authorId="0" shapeId="0" xr:uid="{00000000-0006-0000-0600-00002D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07" authorId="0" shapeId="0" xr:uid="{00000000-0006-0000-0600-00002E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08" authorId="0" shapeId="0" xr:uid="{00000000-0006-0000-0600-00002F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09" authorId="0" shapeId="0" xr:uid="{00000000-0006-0000-0600-000030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10" authorId="0" shapeId="0" xr:uid="{00000000-0006-0000-0600-000031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11" authorId="0" shapeId="0" xr:uid="{00000000-0006-0000-0600-000032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12" authorId="0" shapeId="0" xr:uid="{00000000-0006-0000-0600-000033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13" authorId="0" shapeId="0" xr:uid="{00000000-0006-0000-0600-000034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14" authorId="0" shapeId="0" xr:uid="{00000000-0006-0000-0600-000035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15" authorId="0" shapeId="0" xr:uid="{00000000-0006-0000-0600-000036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16" authorId="0" shapeId="0" xr:uid="{00000000-0006-0000-0600-000037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17" authorId="0" shapeId="0" xr:uid="{00000000-0006-0000-0600-000038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18" authorId="0" shapeId="0" xr:uid="{00000000-0006-0000-0600-000039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19" authorId="0" shapeId="0" xr:uid="{00000000-0006-0000-0600-00003A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20" authorId="0" shapeId="0" xr:uid="{00000000-0006-0000-0600-00003B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21" authorId="0" shapeId="0" xr:uid="{00000000-0006-0000-0600-00003C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22" authorId="0" shapeId="0" xr:uid="{00000000-0006-0000-0600-00003D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23" authorId="0" shapeId="0" xr:uid="{00000000-0006-0000-0600-00003E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24" authorId="0" shapeId="0" xr:uid="{00000000-0006-0000-0600-00003F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25" authorId="0" shapeId="0" xr:uid="{00000000-0006-0000-0600-000040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26" authorId="0" shapeId="0" xr:uid="{00000000-0006-0000-0600-000041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27" authorId="0" shapeId="0" xr:uid="{00000000-0006-0000-0600-000042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28" authorId="0" shapeId="0" xr:uid="{00000000-0006-0000-0600-000043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29" authorId="0" shapeId="0" xr:uid="{00000000-0006-0000-0600-000044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30" authorId="0" shapeId="0" xr:uid="{00000000-0006-0000-0600-000045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31" authorId="0" shapeId="0" xr:uid="{00000000-0006-0000-0600-000046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32" authorId="0" shapeId="0" xr:uid="{00000000-0006-0000-0600-000047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33" authorId="0" shapeId="0" xr:uid="{00000000-0006-0000-0600-000048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34" authorId="0" shapeId="0" xr:uid="{00000000-0006-0000-0600-000049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35" authorId="0" shapeId="0" xr:uid="{00000000-0006-0000-0600-00004A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36" authorId="0" shapeId="0" xr:uid="{00000000-0006-0000-0600-00004B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37" authorId="0" shapeId="0" xr:uid="{00000000-0006-0000-0600-00004C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38" authorId="0" shapeId="0" xr:uid="{00000000-0006-0000-0600-00004D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39" authorId="0" shapeId="0" xr:uid="{00000000-0006-0000-0600-00004E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40" authorId="0" shapeId="0" xr:uid="{00000000-0006-0000-0600-00004F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41" authorId="0" shapeId="0" xr:uid="{00000000-0006-0000-0600-000050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42" authorId="0" shapeId="0" xr:uid="{00000000-0006-0000-0600-000051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43" authorId="0" shapeId="0" xr:uid="{00000000-0006-0000-0600-000052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44" authorId="0" shapeId="0" xr:uid="{00000000-0006-0000-0600-000053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45" authorId="0" shapeId="0" xr:uid="{00000000-0006-0000-0600-000054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46" authorId="0" shapeId="0" xr:uid="{00000000-0006-0000-0600-000055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47" authorId="0" shapeId="0" xr:uid="{00000000-0006-0000-0600-000056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48" authorId="0" shapeId="0" xr:uid="{00000000-0006-0000-0600-000057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49" authorId="0" shapeId="0" xr:uid="{00000000-0006-0000-0600-000058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50" authorId="0" shapeId="0" xr:uid="{00000000-0006-0000-0600-000059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51" authorId="0" shapeId="0" xr:uid="{00000000-0006-0000-0600-00005A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52" authorId="0" shapeId="0" xr:uid="{00000000-0006-0000-0600-00005B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53" authorId="0" shapeId="0" xr:uid="{00000000-0006-0000-0600-00005C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54" authorId="0" shapeId="0" xr:uid="{00000000-0006-0000-0600-00005D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55" authorId="0" shapeId="0" xr:uid="{00000000-0006-0000-0600-00005E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56" authorId="0" shapeId="0" xr:uid="{00000000-0006-0000-0600-00005F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57" authorId="0" shapeId="0" xr:uid="{00000000-0006-0000-0600-000060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58" authorId="0" shapeId="0" xr:uid="{00000000-0006-0000-0600-000061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59" authorId="0" shapeId="0" xr:uid="{00000000-0006-0000-0600-000062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60" authorId="0" shapeId="0" xr:uid="{00000000-0006-0000-0600-000063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61" authorId="0" shapeId="0" xr:uid="{00000000-0006-0000-0600-000064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62" authorId="0" shapeId="0" xr:uid="{00000000-0006-0000-0600-000065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63" authorId="0" shapeId="0" xr:uid="{00000000-0006-0000-0600-000066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64" authorId="0" shapeId="0" xr:uid="{00000000-0006-0000-0600-000067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65" authorId="0" shapeId="0" xr:uid="{00000000-0006-0000-0600-000068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66" authorId="0" shapeId="0" xr:uid="{00000000-0006-0000-0600-000069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67" authorId="0" shapeId="0" xr:uid="{00000000-0006-0000-0600-00006A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68" authorId="0" shapeId="0" xr:uid="{00000000-0006-0000-0600-00006B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69" authorId="0" shapeId="0" xr:uid="{00000000-0006-0000-0600-00006C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70" authorId="0" shapeId="0" xr:uid="{00000000-0006-0000-0600-00006D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71" authorId="0" shapeId="0" xr:uid="{00000000-0006-0000-0600-00006E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72" authorId="0" shapeId="0" xr:uid="{00000000-0006-0000-0600-00006F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73" authorId="0" shapeId="0" xr:uid="{00000000-0006-0000-0600-000070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74" authorId="0" shapeId="0" xr:uid="{00000000-0006-0000-0600-000071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75" authorId="0" shapeId="0" xr:uid="{00000000-0006-0000-0600-000072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76" authorId="0" shapeId="0" xr:uid="{00000000-0006-0000-0600-000073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77" authorId="0" shapeId="0" xr:uid="{00000000-0006-0000-0600-000074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78" authorId="0" shapeId="0" xr:uid="{00000000-0006-0000-0600-000075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79" authorId="0" shapeId="0" xr:uid="{00000000-0006-0000-0600-000076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80" authorId="0" shapeId="0" xr:uid="{00000000-0006-0000-0600-000077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81" authorId="0" shapeId="0" xr:uid="{00000000-0006-0000-0600-000078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82" authorId="0" shapeId="0" xr:uid="{00000000-0006-0000-0600-000079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83" authorId="0" shapeId="0" xr:uid="{00000000-0006-0000-0600-00007A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84" authorId="0" shapeId="0" xr:uid="{00000000-0006-0000-0600-00007B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85" authorId="0" shapeId="0" xr:uid="{00000000-0006-0000-0600-00007C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86" authorId="0" shapeId="0" xr:uid="{00000000-0006-0000-0600-00007D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87" authorId="0" shapeId="0" xr:uid="{00000000-0006-0000-0600-00007E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88" authorId="0" shapeId="0" xr:uid="{00000000-0006-0000-0600-00007F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89" authorId="0" shapeId="0" xr:uid="{00000000-0006-0000-0600-000080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90" authorId="0" shapeId="0" xr:uid="{00000000-0006-0000-0600-000081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91" authorId="0" shapeId="0" xr:uid="{00000000-0006-0000-0600-000082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92" authorId="0" shapeId="0" xr:uid="{00000000-0006-0000-0600-000083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93" authorId="0" shapeId="0" xr:uid="{00000000-0006-0000-0600-000084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94" authorId="0" shapeId="0" xr:uid="{00000000-0006-0000-0600-000085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95" authorId="0" shapeId="0" xr:uid="{00000000-0006-0000-0600-000086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96" authorId="0" shapeId="0" xr:uid="{00000000-0006-0000-0600-000087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97" authorId="0" shapeId="0" xr:uid="{00000000-0006-0000-0600-000088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98" authorId="0" shapeId="0" xr:uid="{00000000-0006-0000-0600-000089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399" authorId="0" shapeId="0" xr:uid="{00000000-0006-0000-0600-00008A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00" authorId="0" shapeId="0" xr:uid="{00000000-0006-0000-0600-00008B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01" authorId="0" shapeId="0" xr:uid="{00000000-0006-0000-0600-00008C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02" authorId="0" shapeId="0" xr:uid="{00000000-0006-0000-0600-00008D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03" authorId="0" shapeId="0" xr:uid="{00000000-0006-0000-0600-00008E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04" authorId="0" shapeId="0" xr:uid="{00000000-0006-0000-0600-00008F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05" authorId="0" shapeId="0" xr:uid="{00000000-0006-0000-0600-000090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06" authorId="0" shapeId="0" xr:uid="{00000000-0006-0000-0600-000091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07" authorId="0" shapeId="0" xr:uid="{00000000-0006-0000-0600-000092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08" authorId="0" shapeId="0" xr:uid="{00000000-0006-0000-0600-000093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09" authorId="0" shapeId="0" xr:uid="{00000000-0006-0000-0600-000094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10" authorId="0" shapeId="0" xr:uid="{00000000-0006-0000-0600-000095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11" authorId="0" shapeId="0" xr:uid="{00000000-0006-0000-0600-000096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12" authorId="0" shapeId="0" xr:uid="{00000000-0006-0000-0600-000097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13" authorId="0" shapeId="0" xr:uid="{00000000-0006-0000-0600-000098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14" authorId="0" shapeId="0" xr:uid="{00000000-0006-0000-0600-000099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15" authorId="0" shapeId="0" xr:uid="{00000000-0006-0000-0600-00009A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16" authorId="0" shapeId="0" xr:uid="{00000000-0006-0000-0600-00009B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17" authorId="0" shapeId="0" xr:uid="{00000000-0006-0000-0600-00009C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18" authorId="0" shapeId="0" xr:uid="{00000000-0006-0000-0600-00009D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19" authorId="0" shapeId="0" xr:uid="{00000000-0006-0000-0600-00009E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20" authorId="0" shapeId="0" xr:uid="{00000000-0006-0000-0600-00009F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21" authorId="0" shapeId="0" xr:uid="{00000000-0006-0000-0600-0000A0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22" authorId="0" shapeId="0" xr:uid="{00000000-0006-0000-0600-0000A1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23" authorId="0" shapeId="0" xr:uid="{00000000-0006-0000-0600-0000A2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24" authorId="0" shapeId="0" xr:uid="{00000000-0006-0000-0600-0000A3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25" authorId="0" shapeId="0" xr:uid="{00000000-0006-0000-0600-0000A4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26" authorId="0" shapeId="0" xr:uid="{00000000-0006-0000-0600-0000A5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27" authorId="0" shapeId="0" xr:uid="{00000000-0006-0000-0600-0000A6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28" authorId="0" shapeId="0" xr:uid="{00000000-0006-0000-0600-0000A7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29" authorId="0" shapeId="0" xr:uid="{00000000-0006-0000-0600-0000A8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30" authorId="0" shapeId="0" xr:uid="{00000000-0006-0000-0600-0000A9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31" authorId="0" shapeId="0" xr:uid="{00000000-0006-0000-0600-0000AA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32" authorId="0" shapeId="0" xr:uid="{00000000-0006-0000-0600-0000AB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33" authorId="0" shapeId="0" xr:uid="{00000000-0006-0000-0600-0000AC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34" authorId="0" shapeId="0" xr:uid="{00000000-0006-0000-0600-0000AD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35" authorId="0" shapeId="0" xr:uid="{00000000-0006-0000-0600-0000AE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36" authorId="0" shapeId="0" xr:uid="{00000000-0006-0000-0600-0000AF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37" authorId="0" shapeId="0" xr:uid="{00000000-0006-0000-0600-0000B0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38" authorId="0" shapeId="0" xr:uid="{00000000-0006-0000-0600-0000B1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39" authorId="0" shapeId="0" xr:uid="{00000000-0006-0000-0600-0000B2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40" authorId="0" shapeId="0" xr:uid="{00000000-0006-0000-0600-0000B3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41" authorId="0" shapeId="0" xr:uid="{00000000-0006-0000-0600-0000B4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42" authorId="0" shapeId="0" xr:uid="{00000000-0006-0000-0600-0000B5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43" authorId="0" shapeId="0" xr:uid="{00000000-0006-0000-0600-0000B6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44" authorId="0" shapeId="0" xr:uid="{00000000-0006-0000-0600-0000B7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45" authorId="0" shapeId="0" xr:uid="{00000000-0006-0000-0600-0000B8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46" authorId="0" shapeId="0" xr:uid="{00000000-0006-0000-0600-0000B9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47" authorId="0" shapeId="0" xr:uid="{00000000-0006-0000-0600-0000BA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48" authorId="0" shapeId="0" xr:uid="{00000000-0006-0000-0600-0000BB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49" authorId="0" shapeId="0" xr:uid="{00000000-0006-0000-0600-0000BC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50" authorId="0" shapeId="0" xr:uid="{00000000-0006-0000-0600-0000BD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51" authorId="0" shapeId="0" xr:uid="{00000000-0006-0000-0600-0000BE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52" authorId="0" shapeId="0" xr:uid="{00000000-0006-0000-0600-0000BF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53" authorId="0" shapeId="0" xr:uid="{00000000-0006-0000-0600-0000C0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54" authorId="0" shapeId="0" xr:uid="{00000000-0006-0000-0600-0000C1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55" authorId="0" shapeId="0" xr:uid="{00000000-0006-0000-0600-0000C2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56" authorId="0" shapeId="0" xr:uid="{00000000-0006-0000-0600-0000C3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57" authorId="0" shapeId="0" xr:uid="{00000000-0006-0000-0600-0000C4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58" authorId="0" shapeId="0" xr:uid="{00000000-0006-0000-0600-0000C5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59" authorId="0" shapeId="0" xr:uid="{00000000-0006-0000-0600-0000C6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60" authorId="0" shapeId="0" xr:uid="{00000000-0006-0000-0600-0000C7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61" authorId="0" shapeId="0" xr:uid="{00000000-0006-0000-0600-0000C8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62" authorId="0" shapeId="0" xr:uid="{00000000-0006-0000-0600-0000C9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63" authorId="0" shapeId="0" xr:uid="{00000000-0006-0000-0600-0000CA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64" authorId="0" shapeId="0" xr:uid="{00000000-0006-0000-0600-0000CB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65" authorId="0" shapeId="0" xr:uid="{00000000-0006-0000-0600-0000CC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66" authorId="0" shapeId="0" xr:uid="{00000000-0006-0000-0600-0000CD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67" authorId="0" shapeId="0" xr:uid="{00000000-0006-0000-0600-0000CE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68" authorId="0" shapeId="0" xr:uid="{00000000-0006-0000-0600-0000CF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69" authorId="0" shapeId="0" xr:uid="{00000000-0006-0000-0600-0000D0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70" authorId="0" shapeId="0" xr:uid="{00000000-0006-0000-0600-0000D1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71" authorId="0" shapeId="0" xr:uid="{00000000-0006-0000-0600-0000D2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72" authorId="0" shapeId="0" xr:uid="{00000000-0006-0000-0600-0000D3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73" authorId="0" shapeId="0" xr:uid="{00000000-0006-0000-0600-0000D4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74" authorId="0" shapeId="0" xr:uid="{00000000-0006-0000-0600-0000D5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75" authorId="0" shapeId="0" xr:uid="{00000000-0006-0000-0600-0000D6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76" authorId="0" shapeId="0" xr:uid="{00000000-0006-0000-0600-0000D7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77" authorId="0" shapeId="0" xr:uid="{00000000-0006-0000-0600-0000D8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78" authorId="0" shapeId="0" xr:uid="{00000000-0006-0000-0600-0000D9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79" authorId="0" shapeId="0" xr:uid="{00000000-0006-0000-0600-0000DA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80" authorId="0" shapeId="0" xr:uid="{00000000-0006-0000-0600-0000DB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81" authorId="0" shapeId="0" xr:uid="{00000000-0006-0000-0600-0000DC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82" authorId="0" shapeId="0" xr:uid="{00000000-0006-0000-0600-0000DD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83" authorId="0" shapeId="0" xr:uid="{00000000-0006-0000-0600-0000DE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84" authorId="0" shapeId="0" xr:uid="{00000000-0006-0000-0600-0000DF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85" authorId="0" shapeId="0" xr:uid="{00000000-0006-0000-0600-0000E0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86" authorId="0" shapeId="0" xr:uid="{00000000-0006-0000-0600-0000E1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87" authorId="0" shapeId="0" xr:uid="{00000000-0006-0000-0600-0000E2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88" authorId="0" shapeId="0" xr:uid="{00000000-0006-0000-0600-0000E3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89" authorId="0" shapeId="0" xr:uid="{00000000-0006-0000-0600-0000E4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90" authorId="0" shapeId="0" xr:uid="{00000000-0006-0000-0600-0000E5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91" authorId="0" shapeId="0" xr:uid="{00000000-0006-0000-0600-0000E6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92" authorId="0" shapeId="0" xr:uid="{00000000-0006-0000-0600-0000E7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93" authorId="0" shapeId="0" xr:uid="{00000000-0006-0000-0600-0000E8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94" authorId="0" shapeId="0" xr:uid="{00000000-0006-0000-0600-0000E9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95" authorId="0" shapeId="0" xr:uid="{00000000-0006-0000-0600-0000EA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96" authorId="0" shapeId="0" xr:uid="{00000000-0006-0000-0600-0000EB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97" authorId="0" shapeId="0" xr:uid="{00000000-0006-0000-0600-0000EC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98" authorId="0" shapeId="0" xr:uid="{00000000-0006-0000-0600-0000ED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499" authorId="0" shapeId="0" xr:uid="{00000000-0006-0000-0600-0000EE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00" authorId="0" shapeId="0" xr:uid="{00000000-0006-0000-0600-0000EF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01" authorId="0" shapeId="0" xr:uid="{00000000-0006-0000-0600-0000F0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02" authorId="0" shapeId="0" xr:uid="{00000000-0006-0000-0600-0000F1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03" authorId="0" shapeId="0" xr:uid="{00000000-0006-0000-0600-0000F2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04" authorId="0" shapeId="0" xr:uid="{00000000-0006-0000-0600-0000F3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05" authorId="0" shapeId="0" xr:uid="{00000000-0006-0000-0600-0000F4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06" authorId="0" shapeId="0" xr:uid="{00000000-0006-0000-0600-0000F5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07" authorId="0" shapeId="0" xr:uid="{00000000-0006-0000-0600-0000F6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08" authorId="0" shapeId="0" xr:uid="{00000000-0006-0000-0600-0000F7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09" authorId="0" shapeId="0" xr:uid="{00000000-0006-0000-0600-0000F8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10" authorId="0" shapeId="0" xr:uid="{00000000-0006-0000-0600-0000F9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11" authorId="0" shapeId="0" xr:uid="{00000000-0006-0000-0600-0000FA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12" authorId="0" shapeId="0" xr:uid="{00000000-0006-0000-0600-0000FB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13" authorId="0" shapeId="0" xr:uid="{00000000-0006-0000-0600-0000FC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14" authorId="0" shapeId="0" xr:uid="{00000000-0006-0000-0600-0000FD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15" authorId="0" shapeId="0" xr:uid="{00000000-0006-0000-0600-0000FE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16" authorId="0" shapeId="0" xr:uid="{00000000-0006-0000-0600-0000FF01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17" authorId="0" shapeId="0" xr:uid="{00000000-0006-0000-0600-000000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18" authorId="0" shapeId="0" xr:uid="{00000000-0006-0000-0600-000001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19" authorId="0" shapeId="0" xr:uid="{00000000-0006-0000-0600-000002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20" authorId="0" shapeId="0" xr:uid="{00000000-0006-0000-0600-000003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21" authorId="0" shapeId="0" xr:uid="{00000000-0006-0000-0600-000004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22" authorId="0" shapeId="0" xr:uid="{00000000-0006-0000-0600-000005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23" authorId="0" shapeId="0" xr:uid="{00000000-0006-0000-0600-000006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24" authorId="0" shapeId="0" xr:uid="{00000000-0006-0000-0600-000007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25" authorId="0" shapeId="0" xr:uid="{00000000-0006-0000-0600-000008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26" authorId="0" shapeId="0" xr:uid="{00000000-0006-0000-0600-000009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27" authorId="0" shapeId="0" xr:uid="{00000000-0006-0000-0600-00000A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28" authorId="0" shapeId="0" xr:uid="{00000000-0006-0000-0600-00000B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29" authorId="0" shapeId="0" xr:uid="{00000000-0006-0000-0600-00000C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30" authorId="0" shapeId="0" xr:uid="{00000000-0006-0000-0600-00000D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31" authorId="0" shapeId="0" xr:uid="{00000000-0006-0000-0600-00000E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32" authorId="0" shapeId="0" xr:uid="{00000000-0006-0000-0600-00000F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33" authorId="0" shapeId="0" xr:uid="{00000000-0006-0000-0600-000010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34" authorId="0" shapeId="0" xr:uid="{00000000-0006-0000-0600-000011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35" authorId="0" shapeId="0" xr:uid="{00000000-0006-0000-0600-000012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36" authorId="0" shapeId="0" xr:uid="{00000000-0006-0000-0600-000013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37" authorId="0" shapeId="0" xr:uid="{00000000-0006-0000-0600-000014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38" authorId="0" shapeId="0" xr:uid="{00000000-0006-0000-0600-000015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39" authorId="0" shapeId="0" xr:uid="{00000000-0006-0000-0600-000016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40" authorId="0" shapeId="0" xr:uid="{00000000-0006-0000-0600-000017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41" authorId="0" shapeId="0" xr:uid="{00000000-0006-0000-0600-000018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42" authorId="0" shapeId="0" xr:uid="{00000000-0006-0000-0600-000019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43" authorId="0" shapeId="0" xr:uid="{00000000-0006-0000-0600-00001A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44" authorId="0" shapeId="0" xr:uid="{00000000-0006-0000-0600-00001B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45" authorId="0" shapeId="0" xr:uid="{00000000-0006-0000-0600-00001C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46" authorId="0" shapeId="0" xr:uid="{00000000-0006-0000-0600-00001D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47" authorId="0" shapeId="0" xr:uid="{00000000-0006-0000-0600-00001E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48" authorId="0" shapeId="0" xr:uid="{00000000-0006-0000-0600-00001F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49" authorId="0" shapeId="0" xr:uid="{00000000-0006-0000-0600-000020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50" authorId="0" shapeId="0" xr:uid="{00000000-0006-0000-0600-000021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51" authorId="0" shapeId="0" xr:uid="{00000000-0006-0000-0600-000022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52" authorId="0" shapeId="0" xr:uid="{00000000-0006-0000-0600-000023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53" authorId="0" shapeId="0" xr:uid="{00000000-0006-0000-0600-000024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54" authorId="0" shapeId="0" xr:uid="{00000000-0006-0000-0600-000025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55" authorId="0" shapeId="0" xr:uid="{00000000-0006-0000-0600-000026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56" authorId="0" shapeId="0" xr:uid="{00000000-0006-0000-0600-000027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57" authorId="0" shapeId="0" xr:uid="{00000000-0006-0000-0600-000028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58" authorId="0" shapeId="0" xr:uid="{00000000-0006-0000-0600-000029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59" authorId="0" shapeId="0" xr:uid="{00000000-0006-0000-0600-00002A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60" authorId="0" shapeId="0" xr:uid="{00000000-0006-0000-0600-00002B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61" authorId="0" shapeId="0" xr:uid="{00000000-0006-0000-0600-00002C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62" authorId="0" shapeId="0" xr:uid="{00000000-0006-0000-0600-00002D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63" authorId="0" shapeId="0" xr:uid="{00000000-0006-0000-0600-00002E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64" authorId="0" shapeId="0" xr:uid="{00000000-0006-0000-0600-00002F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65" authorId="0" shapeId="0" xr:uid="{00000000-0006-0000-0600-000030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66" authorId="0" shapeId="0" xr:uid="{00000000-0006-0000-0600-000031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67" authorId="0" shapeId="0" xr:uid="{00000000-0006-0000-0600-000032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68" authorId="0" shapeId="0" xr:uid="{00000000-0006-0000-0600-000033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69" authorId="0" shapeId="0" xr:uid="{00000000-0006-0000-0600-000034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70" authorId="0" shapeId="0" xr:uid="{00000000-0006-0000-0600-000035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71" authorId="0" shapeId="0" xr:uid="{00000000-0006-0000-0600-000036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72" authorId="0" shapeId="0" xr:uid="{00000000-0006-0000-0600-000037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73" authorId="0" shapeId="0" xr:uid="{00000000-0006-0000-0600-000038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74" authorId="0" shapeId="0" xr:uid="{00000000-0006-0000-0600-000039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75" authorId="0" shapeId="0" xr:uid="{00000000-0006-0000-0600-00003A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76" authorId="0" shapeId="0" xr:uid="{00000000-0006-0000-0600-00003B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77" authorId="0" shapeId="0" xr:uid="{00000000-0006-0000-0600-00003C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78" authorId="0" shapeId="0" xr:uid="{00000000-0006-0000-0600-00003D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79" authorId="0" shapeId="0" xr:uid="{00000000-0006-0000-0600-00003E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80" authorId="0" shapeId="0" xr:uid="{00000000-0006-0000-0600-00003F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81" authorId="0" shapeId="0" xr:uid="{00000000-0006-0000-0600-000040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82" authorId="0" shapeId="0" xr:uid="{00000000-0006-0000-0600-000041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83" authorId="0" shapeId="0" xr:uid="{00000000-0006-0000-0600-000042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84" authorId="0" shapeId="0" xr:uid="{00000000-0006-0000-0600-000043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85" authorId="0" shapeId="0" xr:uid="{00000000-0006-0000-0600-000044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86" authorId="0" shapeId="0" xr:uid="{00000000-0006-0000-0600-000045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87" authorId="0" shapeId="0" xr:uid="{00000000-0006-0000-0600-000046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88" authorId="0" shapeId="0" xr:uid="{00000000-0006-0000-0600-000047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89" authorId="0" shapeId="0" xr:uid="{00000000-0006-0000-0600-000048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90" authorId="0" shapeId="0" xr:uid="{00000000-0006-0000-0600-000049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91" authorId="0" shapeId="0" xr:uid="{00000000-0006-0000-0600-00004A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92" authorId="0" shapeId="0" xr:uid="{00000000-0006-0000-0600-00004B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93" authorId="0" shapeId="0" xr:uid="{00000000-0006-0000-0600-00004C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94" authorId="0" shapeId="0" xr:uid="{00000000-0006-0000-0600-00004D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95" authorId="0" shapeId="0" xr:uid="{00000000-0006-0000-0600-00004E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96" authorId="0" shapeId="0" xr:uid="{00000000-0006-0000-0600-00004F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97" authorId="0" shapeId="0" xr:uid="{00000000-0006-0000-0600-000050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98" authorId="0" shapeId="0" xr:uid="{00000000-0006-0000-0600-000051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599" authorId="0" shapeId="0" xr:uid="{00000000-0006-0000-0600-000052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600" authorId="0" shapeId="0" xr:uid="{00000000-0006-0000-0600-000053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601" authorId="0" shapeId="0" xr:uid="{00000000-0006-0000-0600-000054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602" authorId="0" shapeId="0" xr:uid="{00000000-0006-0000-0600-000055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603" authorId="0" shapeId="0" xr:uid="{00000000-0006-0000-0600-000056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604" authorId="0" shapeId="0" xr:uid="{00000000-0006-0000-0600-000057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  <comment ref="G605" authorId="0" shapeId="0" xr:uid="{00000000-0006-0000-0600-000058020000}">
      <text>
        <r>
          <rPr>
            <sz val="10"/>
            <rFont val="Arial"/>
            <family val="2"/>
          </rPr>
          <t>Amortización anticipada opcional introducida por el usuario.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M365 Copilot</author>
  </authors>
  <commentList>
    <comment ref="B6" authorId="0" shapeId="0" xr:uid="{00000000-0006-0000-0700-00000D000000}">
      <text>
        <r>
          <rPr>
            <sz val="10"/>
            <rFont val="Arial"/>
            <family val="2"/>
          </rPr>
          <t>Escenario editable de porcentaje de financiación.</t>
        </r>
      </text>
    </comment>
    <comment ref="C6" authorId="0" shapeId="0" xr:uid="{00000000-0006-0000-0700-00000F000000}">
      <text>
        <r>
          <rPr>
            <sz val="10"/>
            <rFont val="Arial"/>
            <family val="2"/>
          </rPr>
          <t>Escenario editable de porcentaje de financiación.</t>
        </r>
      </text>
    </comment>
    <comment ref="D6" authorId="0" shapeId="0" xr:uid="{00000000-0006-0000-0700-000011000000}">
      <text>
        <r>
          <rPr>
            <sz val="10"/>
            <rFont val="Arial"/>
            <family val="2"/>
          </rPr>
          <t>Escenario editable de porcentaje de financiación.</t>
        </r>
      </text>
    </comment>
    <comment ref="E6" authorId="0" shapeId="0" xr:uid="{00000000-0006-0000-0700-000013000000}">
      <text>
        <r>
          <rPr>
            <sz val="10"/>
            <rFont val="Arial"/>
            <family val="2"/>
          </rPr>
          <t>Escenario editable de porcentaje de financiación.</t>
        </r>
      </text>
    </comment>
    <comment ref="F6" authorId="0" shapeId="0" xr:uid="{00000000-0006-0000-0700-000015000000}">
      <text>
        <r>
          <rPr>
            <sz val="10"/>
            <rFont val="Arial"/>
            <family val="2"/>
          </rPr>
          <t>Escenario editable de porcentaje de financiación.</t>
        </r>
      </text>
    </comment>
    <comment ref="A7" authorId="0" shapeId="0" xr:uid="{00000000-0006-0000-0700-000001000000}">
      <text>
        <r>
          <rPr>
            <sz val="10"/>
            <rFont val="Arial"/>
            <family val="2"/>
          </rPr>
          <t>Escenario editable de TIN.</t>
        </r>
      </text>
    </comment>
    <comment ref="A8" authorId="0" shapeId="0" xr:uid="{00000000-0006-0000-0700-000002000000}">
      <text>
        <r>
          <rPr>
            <sz val="10"/>
            <rFont val="Arial"/>
            <family val="2"/>
          </rPr>
          <t>Escenario editable de TIN.</t>
        </r>
      </text>
    </comment>
    <comment ref="A9" authorId="0" shapeId="0" xr:uid="{00000000-0006-0000-0700-000003000000}">
      <text>
        <r>
          <rPr>
            <sz val="10"/>
            <rFont val="Arial"/>
            <family val="2"/>
          </rPr>
          <t>Escenario editable de TIN.</t>
        </r>
      </text>
    </comment>
    <comment ref="A10" authorId="0" shapeId="0" xr:uid="{00000000-0006-0000-0700-000004000000}">
      <text>
        <r>
          <rPr>
            <sz val="10"/>
            <rFont val="Arial"/>
            <family val="2"/>
          </rPr>
          <t>Escenario editable de TIN.</t>
        </r>
      </text>
    </comment>
    <comment ref="A11" authorId="0" shapeId="0" xr:uid="{00000000-0006-0000-0700-000005000000}">
      <text>
        <r>
          <rPr>
            <sz val="10"/>
            <rFont val="Arial"/>
            <family val="2"/>
          </rPr>
          <t>Escenario editable de TIN.</t>
        </r>
      </text>
    </comment>
    <comment ref="A12" authorId="0" shapeId="0" xr:uid="{00000000-0006-0000-0700-000006000000}">
      <text>
        <r>
          <rPr>
            <sz val="10"/>
            <rFont val="Arial"/>
            <family val="2"/>
          </rPr>
          <t>Escenario editable de TIN.</t>
        </r>
      </text>
    </comment>
    <comment ref="B16" authorId="0" shapeId="0" xr:uid="{00000000-0006-0000-0700-00000E000000}">
      <text>
        <r>
          <rPr>
            <sz val="10"/>
            <rFont val="Arial"/>
            <family val="2"/>
          </rPr>
          <t>Escenario editable de porcentaje de financiación.</t>
        </r>
      </text>
    </comment>
    <comment ref="C16" authorId="0" shapeId="0" xr:uid="{00000000-0006-0000-0700-000010000000}">
      <text>
        <r>
          <rPr>
            <sz val="10"/>
            <rFont val="Arial"/>
            <family val="2"/>
          </rPr>
          <t>Escenario editable de porcentaje de financiación.</t>
        </r>
      </text>
    </comment>
    <comment ref="D16" authorId="0" shapeId="0" xr:uid="{00000000-0006-0000-0700-000012000000}">
      <text>
        <r>
          <rPr>
            <sz val="10"/>
            <rFont val="Arial"/>
            <family val="2"/>
          </rPr>
          <t>Escenario editable de porcentaje de financiación.</t>
        </r>
      </text>
    </comment>
    <comment ref="E16" authorId="0" shapeId="0" xr:uid="{00000000-0006-0000-0700-000014000000}">
      <text>
        <r>
          <rPr>
            <sz val="10"/>
            <rFont val="Arial"/>
            <family val="2"/>
          </rPr>
          <t>Escenario editable de porcentaje de financiación.</t>
        </r>
      </text>
    </comment>
    <comment ref="F16" authorId="0" shapeId="0" xr:uid="{00000000-0006-0000-0700-000016000000}">
      <text>
        <r>
          <rPr>
            <sz val="10"/>
            <rFont val="Arial"/>
            <family val="2"/>
          </rPr>
          <t>Escenario editable de porcentaje de financiación.</t>
        </r>
      </text>
    </comment>
    <comment ref="A17" authorId="0" shapeId="0" xr:uid="{00000000-0006-0000-0700-000007000000}">
      <text>
        <r>
          <rPr>
            <sz val="10"/>
            <rFont val="Arial"/>
            <family val="2"/>
          </rPr>
          <t>Escenario editable de TIN.</t>
        </r>
      </text>
    </comment>
    <comment ref="A18" authorId="0" shapeId="0" xr:uid="{00000000-0006-0000-0700-000008000000}">
      <text>
        <r>
          <rPr>
            <sz val="10"/>
            <rFont val="Arial"/>
            <family val="2"/>
          </rPr>
          <t>Escenario editable de TIN.</t>
        </r>
      </text>
    </comment>
    <comment ref="A19" authorId="0" shapeId="0" xr:uid="{00000000-0006-0000-0700-000009000000}">
      <text>
        <r>
          <rPr>
            <sz val="10"/>
            <rFont val="Arial"/>
            <family val="2"/>
          </rPr>
          <t>Escenario editable de TIN.</t>
        </r>
      </text>
    </comment>
    <comment ref="A20" authorId="0" shapeId="0" xr:uid="{00000000-0006-0000-0700-00000A000000}">
      <text>
        <r>
          <rPr>
            <sz val="10"/>
            <rFont val="Arial"/>
            <family val="2"/>
          </rPr>
          <t>Escenario editable de TIN.</t>
        </r>
      </text>
    </comment>
    <comment ref="A21" authorId="0" shapeId="0" xr:uid="{00000000-0006-0000-0700-00000B000000}">
      <text>
        <r>
          <rPr>
            <sz val="10"/>
            <rFont val="Arial"/>
            <family val="2"/>
          </rPr>
          <t>Escenario editable de TIN.</t>
        </r>
      </text>
    </comment>
    <comment ref="A22" authorId="0" shapeId="0" xr:uid="{00000000-0006-0000-0700-00000C000000}">
      <text>
        <r>
          <rPr>
            <sz val="10"/>
            <rFont val="Arial"/>
            <family val="2"/>
          </rPr>
          <t>Escenario editable de TIN.</t>
        </r>
      </text>
    </comment>
  </commentList>
</comments>
</file>

<file path=xl/sharedStrings.xml><?xml version="1.0" encoding="utf-8"?>
<sst xmlns="http://schemas.openxmlformats.org/spreadsheetml/2006/main" count="352" uniqueCount="298">
  <si>
    <t>Simulación hipotecaria · Vista para compartir con el cliente</t>
  </si>
  <si>
    <t>Complete primero las preguntas clave y ajuste los datos en pantalla. Los resultados son orientativos y se actualizan automáticamente.</t>
  </si>
  <si>
    <t>Datos clave que podemos ajustar en directo</t>
  </si>
  <si>
    <t>Precio de compra</t>
  </si>
  <si>
    <t>Valor de tasación</t>
  </si>
  <si>
    <t>Durante la reunión, modifique los datos en las hojas Datos, Titulares y Gastos. Esta vista sirve para presentar el resultado de forma limpia.</t>
  </si>
  <si>
    <t>% financiación</t>
  </si>
  <si>
    <t>Importe préstamo</t>
  </si>
  <si>
    <t>Plazo</t>
  </si>
  <si>
    <t>TIN</t>
  </si>
  <si>
    <t>Nº titulares</t>
  </si>
  <si>
    <t>Ingresos mensuales</t>
  </si>
  <si>
    <t>Otras cuotas</t>
  </si>
  <si>
    <t>Liquidez disponible</t>
  </si>
  <si>
    <t>Resultado de la simulación</t>
  </si>
  <si>
    <t>Cuota hipotecaria</t>
  </si>
  <si>
    <t>Fondos propios necesarios</t>
  </si>
  <si>
    <t>Ratio de endeudamiento</t>
  </si>
  <si>
    <t>Exceso / (déficit) de liquidez</t>
  </si>
  <si>
    <t>LTV sobre PVP</t>
  </si>
  <si>
    <t>Total estimado de gastos</t>
  </si>
  <si>
    <t>Total de intereses</t>
  </si>
  <si>
    <t>Cuota + vinculaciones</t>
  </si>
  <si>
    <t>Lectura rápida y conversación con el cliente</t>
  </si>
  <si>
    <t>1. Encaje de cuota</t>
  </si>
  <si>
    <t>2. Ahorro disponible</t>
  </si>
  <si>
    <t>3. Financiación</t>
  </si>
  <si>
    <t>4. Próximo enfoque</t>
  </si>
  <si>
    <t>Cierre propuesto</t>
  </si>
  <si>
    <t>Objetivo del cliente</t>
  </si>
  <si>
    <t>¿Qué cuota le dejaría cómodo cada mes, manteniendo un colchón para imprevistos?</t>
  </si>
  <si>
    <t>Prioridad</t>
  </si>
  <si>
    <t>¿Prefiere minimizar cuota, reducir intereses, financiar más o conservar ahorro?</t>
  </si>
  <si>
    <t>Siguiente paso</t>
  </si>
  <si>
    <t>Acordar documentación pendiente, escenario preferido y fecha de seguimiento.</t>
  </si>
  <si>
    <t>Guion de reunión · Descubrimiento y simulación hipotecaria</t>
  </si>
  <si>
    <t>Objetivo: entender la operación, detectar límites y prioridades, simular alternativas y cerrar próximos pasos claros.</t>
  </si>
  <si>
    <t>Estructura recomendada de la reunión</t>
  </si>
  <si>
    <t>Paso</t>
  </si>
  <si>
    <t>Bloque</t>
  </si>
  <si>
    <t>Pregunta / enfoque</t>
  </si>
  <si>
    <t>Qué anotar o comprobar</t>
  </si>
  <si>
    <t>Estado</t>
  </si>
  <si>
    <t>Minutos</t>
  </si>
  <si>
    <t>1</t>
  </si>
  <si>
    <t>Apertura</t>
  </si>
  <si>
    <t>“Para aprovechar la reunión, primero entenderemos su objetivo y situación; después simularemos una o dos alternativas y cerraremos siguientes pasos.”</t>
  </si>
  <si>
    <t>Confirmar tiempo disponible y objetivo principal.</t>
  </si>
  <si>
    <t>Pendiente</t>
  </si>
  <si>
    <t>2</t>
  </si>
  <si>
    <t>Objetivo</t>
  </si>
  <si>
    <t>¿Qué vivienda está valorando y en qué punto está: búsqueda, reserva, arras o compraventa?</t>
  </si>
  <si>
    <t>Precio, ubicación, vivienda habitual/segunda, fecha prevista.</t>
  </si>
  <si>
    <t>3</t>
  </si>
  <si>
    <t>¿Qué es más importante: cuota baja, financiar el máximo, conservar ahorro, estabilidad o pagar menos intereses?</t>
  </si>
  <si>
    <t>Ordenar prioridades y límites del cliente.</t>
  </si>
  <si>
    <t>4</t>
  </si>
  <si>
    <t>Titulares</t>
  </si>
  <si>
    <t>¿Solicitarán la hipoteca una o dos personas? ¿Quiénes serán propietarios y prestatarios?</t>
  </si>
  <si>
    <t>Titulares, edades, situación familiar y horizonte laboral.</t>
  </si>
  <si>
    <t>5</t>
  </si>
  <si>
    <t>Ingresos</t>
  </si>
  <si>
    <t>¿Qué ingresos netos estables recibe cada titular? ¿Hay pagas extras, variables, alquileres o bonus?</t>
  </si>
  <si>
    <t>Nóminas, renta anual, estabilidad y parte no recurrente.</t>
  </si>
  <si>
    <t>6</t>
  </si>
  <si>
    <t>Deudas</t>
  </si>
  <si>
    <t>¿Tienen préstamos, coche, tarjetas, cuotas aplazadas, avales u otras obligaciones mensuales?</t>
  </si>
  <si>
    <t>Cuota mensual, saldo y vencimiento de cada deuda.</t>
  </si>
  <si>
    <t>7</t>
  </si>
  <si>
    <t>Ahorro</t>
  </si>
  <si>
    <t>¿Qué ahorro desean aportar y qué importe quieren conservar como colchón después de la compra?</t>
  </si>
  <si>
    <t>Liquidez total, entrada máxima y reserva mínima.</t>
  </si>
  <si>
    <t>8</t>
  </si>
  <si>
    <t>Inmueble</t>
  </si>
  <si>
    <t>¿Cuál es el precio? ¿Existe tasación o una estimación? ¿Es obra nueva o segunda mano?</t>
  </si>
  <si>
    <t>PVP, tasación, régimen fiscal y gastos especiales.</t>
  </si>
  <si>
    <t>9</t>
  </si>
  <si>
    <t>Preferencias</t>
  </si>
  <si>
    <t>¿Prefieren tipo fijo, variable o mixto? ¿Qué importancia dan a la estabilidad de cuota?</t>
  </si>
  <si>
    <t>Tolerancia a variaciones y plazo preferido.</t>
  </si>
  <si>
    <t>10</t>
  </si>
  <si>
    <t>Simulación</t>
  </si>
  <si>
    <t>Mostrar primero el escenario base y después cambiar solo una variable cada vez.</t>
  </si>
  <si>
    <t>Cuota, ratio, fondos, LTV, intereses y vinculaciones.</t>
  </si>
  <si>
    <t>11</t>
  </si>
  <si>
    <t>Contraste</t>
  </si>
  <si>
    <t>¿Cómo se siente con esta cuota? ¿Qué margen mensual quiere conservar tras todos sus gastos?</t>
  </si>
  <si>
    <t>Diferenciar aprobación técnica de comodidad real.</t>
  </si>
  <si>
    <t>12</t>
  </si>
  <si>
    <t>Riesgos</t>
  </si>
  <si>
    <t>¿Prevén cambios de empleo, hijos, reformas, jubilación, otras compras o reducción de ingresos?</t>
  </si>
  <si>
    <t>Impactos previsibles durante los próximos años.</t>
  </si>
  <si>
    <t>13</t>
  </si>
  <si>
    <t>Cierre</t>
  </si>
  <si>
    <t>Resumir escenario preferido, dudas, documentación y próximo contacto.</t>
  </si>
  <si>
    <t>Responsable, fecha y acción concreta.</t>
  </si>
  <si>
    <t>Preguntas de profundización</t>
  </si>
  <si>
    <t>Comodidad</t>
  </si>
  <si>
    <t>¿Qué cuota considera cómoda y cuál sería el máximo que no querría superar?</t>
  </si>
  <si>
    <t>¿Cuánto necesita conservar después de pagar entrada, impuestos y gastos?</t>
  </si>
  <si>
    <t>Estabilidad</t>
  </si>
  <si>
    <t>Si el tipo o los gastos mensuales subieran, ¿qué margen tendría?</t>
  </si>
  <si>
    <t>¿Prefiere pagar menos al mes o terminar antes, aun pagando una cuota superior?</t>
  </si>
  <si>
    <t>Productos vinculados</t>
  </si>
  <si>
    <t>¿Aceptaría seguros u otros productos si el ahorro de intereses compensa su coste?</t>
  </si>
  <si>
    <t>Amortización</t>
  </si>
  <si>
    <t>¿Prevé recibir bonus, vender otro inmueble o realizar amortizaciones anticipadas?</t>
  </si>
  <si>
    <t>Decisión</t>
  </si>
  <si>
    <t>¿Qué tendría que ver hoy para considerar que la propuesta encaja?</t>
  </si>
  <si>
    <t>Notas y acuerdos de la reunión</t>
  </si>
  <si>
    <t>Necesidad principal</t>
  </si>
  <si>
    <t>Escenario preferido</t>
  </si>
  <si>
    <t>Importe / cuota objetivo</t>
  </si>
  <si>
    <t>Documentación pendiente</t>
  </si>
  <si>
    <t>Objeciones o dudas</t>
  </si>
  <si>
    <t>Próxima acción y fecha</t>
  </si>
  <si>
    <t>Documentación a confirmar</t>
  </si>
  <si>
    <t>☐</t>
  </si>
  <si>
    <t>DNI/NIE y situación familiar</t>
  </si>
  <si>
    <t>Últimas nóminas / justificantes de ingresos</t>
  </si>
  <si>
    <t>Declaración de la renta</t>
  </si>
  <si>
    <t>Vida laboral o estabilidad profesional</t>
  </si>
  <si>
    <t>Extractos o evidencia de ahorro</t>
  </si>
  <si>
    <t>Recibos y saldos de préstamos vigentes</t>
  </si>
  <si>
    <t>Contrato de arras / reserva, si existe</t>
  </si>
  <si>
    <t>Información del inmueble y tasación, si existe</t>
  </si>
  <si>
    <t>Frases útiles para dirigir la reunión</t>
  </si>
  <si>
    <t>“Voy a cambiar una variable cada vez para que veamos claramente qué efecto tiene.”</t>
  </si>
  <si>
    <t>“Una cosa es que la operación pueda encajar y otra que la cuota resulte cómoda para ustedes.”</t>
  </si>
  <si>
    <t>“No buscamos solo la cuota más baja, sino el equilibrio entre ahorro, coste total y seguridad.”</t>
  </si>
  <si>
    <t>“Antes de cerrar una opción, comparemos también el coste de las vinculaciones y los escenarios de tipo.”</t>
  </si>
  <si>
    <t>“Como siguiente paso, dejaremos por escrito qué documentación falta y qué escenario revisaremos.”</t>
  </si>
  <si>
    <t>Enfoque comercial y de asesoramiento</t>
  </si>
  <si>
    <t>Escuche primero, cuantifique después y recomiende al final. Evite empezar por el tipo de interés: comience por el proyecto, la comodidad de cuota y el colchón de seguridad. Presente un escenario base y otro prudente. Cierre con un resumen verificable, sin prometer aprobación ni condiciones definitivas.</t>
  </si>
  <si>
    <t>Calculadora integral de hipoteca</t>
  </si>
  <si>
    <t>Resumen ejecutivo — las entradas se editan en amarillo; revise las alertas antes de usar el resultado.</t>
  </si>
  <si>
    <t>Operación</t>
  </si>
  <si>
    <t>Capacidad y riesgo</t>
  </si>
  <si>
    <t>Tasación</t>
  </si>
  <si>
    <t>Base financiable</t>
  </si>
  <si>
    <t>Ratio endeudamiento</t>
  </si>
  <si>
    <t>Préstamo usado</t>
  </si>
  <si>
    <t>Ratio ampliada</t>
  </si>
  <si>
    <t>LTV sobre tasación</t>
  </si>
  <si>
    <t>Exceso / (déficit)</t>
  </si>
  <si>
    <t>Alertas automáticas</t>
  </si>
  <si>
    <t>Financiación sobre base</t>
  </si>
  <si>
    <t>Ratio</t>
  </si>
  <si>
    <t>Liquidez</t>
  </si>
  <si>
    <t>Datos titulares</t>
  </si>
  <si>
    <t>Uso recomendado</t>
  </si>
  <si>
    <t>1. Complete Datos, Titulares y Gastos; las celdas amarillas son supuestos editables.</t>
  </si>
  <si>
    <t>2. Revise la cuota, la ratio, la liquidez y las alertas del resumen.</t>
  </si>
  <si>
    <t>3. Consulte Amortización para el detalle mensual y añada amortizaciones anticipadas si procede.</t>
  </si>
  <si>
    <t>4. Use Escenarios para comparar sensibilidad a tipo y porcentaje de financiación.</t>
  </si>
  <si>
    <t>5. El modelo es orientativo: valide fiscalidad, política de riesgos, bonificaciones y condiciones contractuales.</t>
  </si>
  <si>
    <t>Datos y condiciones de la hipoteca</t>
  </si>
  <si>
    <t>Compraventa y financiación</t>
  </si>
  <si>
    <t>Precio de compraventa / PVP</t>
  </si>
  <si>
    <t>Las celdas amarillas con texto azul son editables.</t>
  </si>
  <si>
    <t>Base financiable (menor entre PVP y tasación)</t>
  </si>
  <si>
    <t>La base se calcula automáticamente como MIN(PVP; tasación).</t>
  </si>
  <si>
    <t>% de financiación sobre la base</t>
  </si>
  <si>
    <t>Préstamo calculado</t>
  </si>
  <si>
    <t>Préstamo manual / concedido (opcional; 0 = calculado)</t>
  </si>
  <si>
    <t>Importe de préstamo usado</t>
  </si>
  <si>
    <t>Plazo (años)</t>
  </si>
  <si>
    <t>Número de cuotas al año</t>
  </si>
  <si>
    <t>Total de cuotas</t>
  </si>
  <si>
    <t>Tipo de interés y cuota</t>
  </si>
  <si>
    <t>Modalidad de tipo</t>
  </si>
  <si>
    <t>Fijo</t>
  </si>
  <si>
    <t>TIN anual aplicable ahora</t>
  </si>
  <si>
    <t>TAE informativa (opcional)</t>
  </si>
  <si>
    <t>Fecha de primera cuota</t>
  </si>
  <si>
    <t>Cuota hipotecaria calculada</t>
  </si>
  <si>
    <t>Costes vinculados mensuales (seguros, etc.)</t>
  </si>
  <si>
    <t>Cuota total vivienda ampliada</t>
  </si>
  <si>
    <t>Sistema de amortización</t>
  </si>
  <si>
    <t>Francés</t>
  </si>
  <si>
    <t>Controles y límites orientativos</t>
  </si>
  <si>
    <t>Umbral objetivo de endeudamiento</t>
  </si>
  <si>
    <t>Umbral máximo de revisión</t>
  </si>
  <si>
    <t>Ahorro / liquidez disponible</t>
  </si>
  <si>
    <t>Ingresos mensuales computables</t>
  </si>
  <si>
    <t>Otras cuotas mensuales</t>
  </si>
  <si>
    <t>Ratio ampliada (incluye vinculados)</t>
  </si>
  <si>
    <t>Estado ratio</t>
  </si>
  <si>
    <t>Titulares, ingresos y otras deudas</t>
  </si>
  <si>
    <t>Configuración</t>
  </si>
  <si>
    <t>Número de titulares</t>
  </si>
  <si>
    <t>Puede informar ingresos mensuales o usar la renta anual neta / 12 para cada titular.</t>
  </si>
  <si>
    <t>Ingresos computables</t>
  </si>
  <si>
    <t>Concepto</t>
  </si>
  <si>
    <t>Titular 1</t>
  </si>
  <si>
    <t>Titular 2</t>
  </si>
  <si>
    <t>Notas</t>
  </si>
  <si>
    <t>Nombre / referencia</t>
  </si>
  <si>
    <t>Método de cómputo</t>
  </si>
  <si>
    <t>Mensual</t>
  </si>
  <si>
    <t>Nómina / ingreso neto mensual</t>
  </si>
  <si>
    <t>Otros ingresos netos mensuales recurrentes</t>
  </si>
  <si>
    <t>Ingreso neto anual según renta (opcional)</t>
  </si>
  <si>
    <t>Meses de cómputo de renta anual</t>
  </si>
  <si>
    <t>Ingreso mensual usado</t>
  </si>
  <si>
    <t>Total mensual computable</t>
  </si>
  <si>
    <t>Ajustes de prudencia</t>
  </si>
  <si>
    <t>% de ingresos variables computables</t>
  </si>
  <si>
    <t>Otros ingresos declarados incluidos arriba</t>
  </si>
  <si>
    <t>Ajuste prudencial</t>
  </si>
  <si>
    <t>Ingresos mensuales computables finales</t>
  </si>
  <si>
    <t>Otras cuotas mensuales de préstamos / obligaciones</t>
  </si>
  <si>
    <t>Cuota mensual</t>
  </si>
  <si>
    <t>Saldo pendiente</t>
  </si>
  <si>
    <t>Observaciones</t>
  </si>
  <si>
    <t>Préstamo personal</t>
  </si>
  <si>
    <t>Vehículo</t>
  </si>
  <si>
    <t>Tarjetas / revolving</t>
  </si>
  <si>
    <t>Pensión / obligación recurrente</t>
  </si>
  <si>
    <t>Otros</t>
  </si>
  <si>
    <t>Total otras cuotas</t>
  </si>
  <si>
    <t>Impuestos, gastos y fondos necesarios</t>
  </si>
  <si>
    <t>Gastos de compraventa</t>
  </si>
  <si>
    <t>Base para impuestos</t>
  </si>
  <si>
    <t>% impuesto compra (ITP/IVA/AJD, editable)</t>
  </si>
  <si>
    <t>Impuesto estimado</t>
  </si>
  <si>
    <t>Notaría compraventa</t>
  </si>
  <si>
    <t>Registro</t>
  </si>
  <si>
    <t>Gestoría</t>
  </si>
  <si>
    <t>Honorarios legales / inmobiliarios</t>
  </si>
  <si>
    <t>Otros gastos de compra</t>
  </si>
  <si>
    <t>Total gastos compraventa</t>
  </si>
  <si>
    <t>Gastos asociados a financiación</t>
  </si>
  <si>
    <t>Comisión de apertura (%)</t>
  </si>
  <si>
    <t>Comisión de apertura (€)</t>
  </si>
  <si>
    <t>Otros gastos iniciales de financiación</t>
  </si>
  <si>
    <t>Total gastos financiación</t>
  </si>
  <si>
    <t>Necesidad de fondos</t>
  </si>
  <si>
    <t>Préstamo utilizado</t>
  </si>
  <si>
    <t>Entrada no financiada</t>
  </si>
  <si>
    <t>Total impuestos y gastos</t>
  </si>
  <si>
    <t>% total de gastos sobre PVP</t>
  </si>
  <si>
    <t>Cuadro de amortización (sistema francés)</t>
  </si>
  <si>
    <t>Puede introducir amortización anticipada en la columna G. El saldo nunca baja de cero.</t>
  </si>
  <si>
    <t>Nº</t>
  </si>
  <si>
    <t>Fecha</t>
  </si>
  <si>
    <t>Saldo inicial</t>
  </si>
  <si>
    <t>Interés</t>
  </si>
  <si>
    <t>Cuota ordinaria</t>
  </si>
  <si>
    <t>Principal ordinario</t>
  </si>
  <si>
    <t>Amort. anticipada</t>
  </si>
  <si>
    <t>Principal total</t>
  </si>
  <si>
    <t>Saldo final</t>
  </si>
  <si>
    <t>Pago total</t>
  </si>
  <si>
    <t>Total intereses</t>
  </si>
  <si>
    <t>Total pagado</t>
  </si>
  <si>
    <t>Escenarios de cuota y sensibilidad</t>
  </si>
  <si>
    <t>Cuota mensual estimada cruzando TIN y % de financiación. Usa la base menor entre PVP y tasación y el plazo actual.</t>
  </si>
  <si>
    <t>Cuota mensual por escenario</t>
  </si>
  <si>
    <t>TIN / Financiación</t>
  </si>
  <si>
    <t>Impacto sobre ratio de endeudamiento</t>
  </si>
  <si>
    <t>Guía de uso y alcance del modelo</t>
  </si>
  <si>
    <t>Qué incluye</t>
  </si>
  <si>
    <t>Menor entre precio de compraventa y tasación, con porcentaje de financiación editable y posibilidad de préstamo manual.</t>
  </si>
  <si>
    <t>Cuota</t>
  </si>
  <si>
    <t>Sistema francés, TIN anual, plazo y frecuencia de pagos editables; incluye TAE informativa y costes vinculados mensuales.</t>
  </si>
  <si>
    <t>De 1 a 2 titulares. Cada uno puede computar ingresos mensuales o renta anual neta dividida entre meses de cómputo.</t>
  </si>
  <si>
    <t>Endeudamiento</t>
  </si>
  <si>
    <t>Cuota hipotecaria + otras obligaciones / ingresos computables. También calcula una ratio ampliada con vinculaciones.</t>
  </si>
  <si>
    <t>Fondos propios</t>
  </si>
  <si>
    <t>Entrada no financiada + impuestos + gastos de compraventa + gastos iniciales de financiación.</t>
  </si>
  <si>
    <t>Hasta 600 cuotas, intereses, principal, saldo y amortizaciones anticipadas mensuales.</t>
  </si>
  <si>
    <t>Escenarios</t>
  </si>
  <si>
    <t>Sensibilidad de cuota y ratio frente a distintos tipos de interés y porcentajes de financiación.</t>
  </si>
  <si>
    <t>Alertas</t>
  </si>
  <si>
    <t>Exceso sobre base financiable, ratio, falta de liquidez, segundo titular sin ingresos y plazo elevado.</t>
  </si>
  <si>
    <t>Aspectos adicionales a revisar fuera o dentro del modelo</t>
  </si>
  <si>
    <t>Tipo variable o mixto</t>
  </si>
  <si>
    <t>El cuadro usa un TIN constante. Para una previsión futura, duplique escenarios por tramos o actualice el TIN; no se predice el índice de referencia.</t>
  </si>
  <si>
    <t>Bonificaciones</t>
  </si>
  <si>
    <t>Compare la rebaja de tipo con el coste real de seguros, tarjetas, nómina u otros productos vinculados.</t>
  </si>
  <si>
    <t>Comisiones</t>
  </si>
  <si>
    <t>Revise apertura, amortización anticipada, subrogación, novación y compensaciones contractuales.</t>
  </si>
  <si>
    <t>Fiscalidad</t>
  </si>
  <si>
    <t>El porcentaje de impuestos es totalmente editable porque depende de territorio, tipo de inmueble, comprador y fecha.</t>
  </si>
  <si>
    <t>Use importes netos sostenibles y documentados; ajuste ingresos variables, alquileres o bonus con prudencia.</t>
  </si>
  <si>
    <t>Considere estabilidad laboral, edad al vencimiento, cargas familiares, avales, carencias, impagos y colchón de emergencia.</t>
  </si>
  <si>
    <t>Validación</t>
  </si>
  <si>
    <t>Es una herramienta orientativa y no sustituye una FEIN/oferta vinculante, tasación, estudio de riesgos, asesoramiento fiscal o revisión contractual.</t>
  </si>
  <si>
    <t>Convención visual</t>
  </si>
  <si>
    <t>Azul sobre amarillo</t>
  </si>
  <si>
    <t>Entrada editable por el usuario.</t>
  </si>
  <si>
    <t>Negro</t>
  </si>
  <si>
    <t>Fórmula calculada en la misma hoja.</t>
  </si>
  <si>
    <t>Verde</t>
  </si>
  <si>
    <t>Vínculo o cálculo procedente de otra hoja.</t>
  </si>
  <si>
    <t>Rojo claro</t>
  </si>
  <si>
    <t>Alerta o valor que requiere revisión.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</si>
</sst>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[$€-C0A];[Red]\(#,##0\ [$€-C0A]\);\-"/>
    <numFmt numFmtId="165" formatCode="0.0%;[Red]\(0.0%\);\-"/>
    <numFmt numFmtId="166" formatCode="0&quot; años&quot;"/>
    <numFmt numFmtId="167" formatCode="#,##0.00\ [$€-C0A];[Red]\(#,##0.00\ [$€-C0A]\);\-"/>
    <numFmt numFmtId="168" formatCode="0&quot; min&quot;"/>
  </numFmts>
  <fonts count="15">
    <font>
      <sz val="11"/>
      <color theme="1"/>
      <name val="Calibri"/>
      <family val="2"/>
      <charset val="1"/>
    </font>
    <font>
      <b/>
      <sz val="17"/>
      <color rgb="FFFFFFFF"/>
      <name val="Cambria"/>
      <charset val="1"/>
    </font>
    <font>
      <i/>
      <sz val="11"/>
      <color rgb="FF17365D"/>
      <name val="Cambria"/>
      <charset val="1"/>
    </font>
    <font>
      <b/>
      <sz val="11"/>
      <color rgb="FFFFFFFF"/>
      <name val="Cambria"/>
      <charset val="1"/>
    </font>
    <font>
      <sz val="11"/>
      <color rgb="FF666666"/>
      <name val="Cambria"/>
      <charset val="1"/>
    </font>
    <font>
      <b/>
      <sz val="11"/>
      <color rgb="FF008000"/>
      <name val="Cambria"/>
      <charset val="1"/>
    </font>
    <font>
      <b/>
      <sz val="11"/>
      <color rgb="FF17365D"/>
      <name val="Cambria"/>
      <charset val="1"/>
    </font>
    <font>
      <sz val="11"/>
      <color rgb="FF008000"/>
      <name val="Cambria"/>
      <charset val="1"/>
    </font>
    <font>
      <sz val="11"/>
      <color rgb="FF0000FF"/>
      <name val="Cambria"/>
      <charset val="1"/>
    </font>
    <font>
      <sz val="14"/>
      <color rgb="FF17365D"/>
      <name val="Cambria"/>
      <charset val="1"/>
    </font>
    <font>
      <b/>
      <sz val="16"/>
      <color rgb="FFFFFFFF"/>
      <name val="Cambria"/>
      <charset val="1"/>
    </font>
    <font>
      <b/>
      <sz val="11"/>
      <color rgb="FF000000"/>
      <name val="Cambria"/>
      <charset val="1"/>
    </font>
    <font>
      <sz val="11"/>
      <color rgb="FF000000"/>
      <name val="Cambria"/>
      <charset val="1"/>
    </font>
    <font>
      <sz val="10"/>
      <name val="Arial"/>
      <family val="2"/>
    </font>
    <font>
      <b/>
      <sz val="11"/>
      <name val="Cambria"/>
      <charset val="1"/>
    </font>
  </fonts>
  <fills count="10">
    <fill>
      <patternFill patternType="none"/>
    </fill>
    <fill>
      <patternFill patternType="gray125"/>
    </fill>
    <fill>
      <patternFill patternType="solid">
        <fgColor rgb="FF17365D"/>
        <bgColor rgb="FF333333"/>
      </patternFill>
    </fill>
    <fill>
      <patternFill patternType="solid">
        <fgColor rgb="FFD9EAF7"/>
        <bgColor rgb="FFDDEBF7"/>
      </patternFill>
    </fill>
    <fill>
      <patternFill patternType="solid">
        <fgColor rgb="FFFFF2CC"/>
        <bgColor rgb="FFE2F0D9"/>
      </patternFill>
    </fill>
    <fill>
      <patternFill patternType="solid">
        <fgColor rgb="FFDDEBF7"/>
        <bgColor rgb="FFD9EAF7"/>
      </patternFill>
    </fill>
    <fill>
      <patternFill patternType="solid">
        <fgColor rgb="FF2F75B5"/>
        <bgColor rgb="FF4A7EBB"/>
      </patternFill>
    </fill>
    <fill>
      <patternFill patternType="solid">
        <fgColor rgb="FFE2F0D9"/>
        <bgColor rgb="FFDDEBF7"/>
      </patternFill>
    </fill>
    <fill>
      <patternFill patternType="solid">
        <fgColor rgb="FF5B9BD5"/>
        <bgColor rgb="FF4A7EBB"/>
      </patternFill>
    </fill>
    <fill>
      <patternFill patternType="solid">
        <fgColor rgb="FFF4CCCC"/>
        <bgColor rgb="FFD9D9D9"/>
      </patternFill>
    </fill>
  </fills>
  <borders count="2">
    <border>
      <left/>
      <right/>
      <top/>
      <bottom/>
      <diagonal/>
    </border>
    <border>
      <left/>
      <right/>
      <top style="medium">
        <color rgb="FF17365D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vertical="center" wrapText="1"/>
    </xf>
    <xf numFmtId="164" fontId="5" fillId="0" borderId="0" xfId="0" applyNumberFormat="1" applyFont="1"/>
    <xf numFmtId="165" fontId="5" fillId="0" borderId="0" xfId="0" applyNumberFormat="1" applyFont="1"/>
    <xf numFmtId="166" fontId="5" fillId="0" borderId="0" xfId="0" applyNumberFormat="1" applyFont="1"/>
    <xf numFmtId="1" fontId="5" fillId="0" borderId="0" xfId="0" applyNumberFormat="1" applyFont="1"/>
    <xf numFmtId="167" fontId="5" fillId="0" borderId="0" xfId="0" applyNumberFormat="1" applyFont="1"/>
    <xf numFmtId="167" fontId="5" fillId="5" borderId="0" xfId="0" applyNumberFormat="1" applyFont="1" applyFill="1"/>
    <xf numFmtId="165" fontId="5" fillId="5" borderId="0" xfId="0" applyNumberFormat="1" applyFont="1" applyFill="1"/>
    <xf numFmtId="0" fontId="3" fillId="6" borderId="0" xfId="0" applyFont="1" applyFill="1" applyAlignment="1">
      <alignment horizontal="center"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8" fillId="4" borderId="0" xfId="0" applyFont="1" applyFill="1" applyAlignment="1">
      <alignment vertical="top" wrapText="1"/>
    </xf>
    <xf numFmtId="168" fontId="0" fillId="0" borderId="0" xfId="0" applyNumberFormat="1" applyAlignment="1">
      <alignment vertical="top" wrapText="1"/>
    </xf>
    <xf numFmtId="0" fontId="6" fillId="0" borderId="0" xfId="0" applyFont="1"/>
    <xf numFmtId="0" fontId="9" fillId="0" borderId="0" xfId="0" applyFont="1"/>
    <xf numFmtId="164" fontId="7" fillId="0" borderId="0" xfId="0" applyNumberFormat="1" applyFont="1" applyAlignment="1">
      <alignment vertical="center"/>
    </xf>
    <xf numFmtId="167" fontId="7" fillId="0" borderId="0" xfId="0" applyNumberFormat="1" applyFont="1" applyAlignment="1">
      <alignment vertical="center"/>
    </xf>
    <xf numFmtId="165" fontId="11" fillId="5" borderId="0" xfId="0" applyNumberFormat="1" applyFont="1" applyFill="1" applyAlignment="1">
      <alignment vertical="center"/>
    </xf>
    <xf numFmtId="164" fontId="11" fillId="5" borderId="0" xfId="0" applyNumberFormat="1" applyFont="1" applyFill="1" applyAlignment="1">
      <alignment vertical="center"/>
    </xf>
    <xf numFmtId="165" fontId="7" fillId="0" borderId="0" xfId="0" applyNumberFormat="1" applyFont="1" applyAlignment="1">
      <alignment vertical="center"/>
    </xf>
    <xf numFmtId="0" fontId="11" fillId="5" borderId="0" xfId="0" applyFont="1" applyFill="1" applyAlignment="1">
      <alignment vertical="center"/>
    </xf>
    <xf numFmtId="167" fontId="11" fillId="5" borderId="0" xfId="0" applyNumberFormat="1" applyFont="1" applyFill="1" applyAlignment="1">
      <alignment vertical="center"/>
    </xf>
    <xf numFmtId="166" fontId="7" fillId="0" borderId="0" xfId="0" applyNumberFormat="1" applyFont="1" applyAlignment="1">
      <alignment vertical="center"/>
    </xf>
    <xf numFmtId="164" fontId="8" fillId="4" borderId="0" xfId="0" applyNumberFormat="1" applyFont="1" applyFill="1" applyAlignment="1">
      <alignment vertical="center"/>
    </xf>
    <xf numFmtId="0" fontId="0" fillId="4" borderId="0" xfId="0" applyFill="1" applyAlignment="1">
      <alignment wrapText="1"/>
    </xf>
    <xf numFmtId="164" fontId="1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5" fontId="8" fillId="4" borderId="0" xfId="0" applyNumberFormat="1" applyFont="1" applyFill="1" applyAlignment="1">
      <alignment vertical="center"/>
    </xf>
    <xf numFmtId="1" fontId="8" fillId="4" borderId="0" xfId="0" applyNumberFormat="1" applyFont="1" applyFill="1" applyAlignment="1">
      <alignment vertical="center"/>
    </xf>
    <xf numFmtId="1" fontId="12" fillId="0" borderId="0" xfId="0" applyNumberFormat="1" applyFont="1" applyAlignment="1">
      <alignment vertical="center"/>
    </xf>
    <xf numFmtId="0" fontId="8" fillId="4" borderId="0" xfId="0" applyFont="1" applyFill="1" applyAlignment="1">
      <alignment vertical="center"/>
    </xf>
    <xf numFmtId="14" fontId="8" fillId="4" borderId="0" xfId="0" applyNumberFormat="1" applyFont="1" applyFill="1" applyAlignment="1">
      <alignment vertical="center"/>
    </xf>
    <xf numFmtId="167" fontId="12" fillId="0" borderId="0" xfId="0" applyNumberFormat="1" applyFont="1" applyAlignment="1">
      <alignment vertical="center"/>
    </xf>
    <xf numFmtId="167" fontId="8" fillId="4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3" fillId="8" borderId="0" xfId="0" applyFont="1" applyFill="1" applyAlignment="1">
      <alignment vertical="center"/>
    </xf>
    <xf numFmtId="167" fontId="12" fillId="0" borderId="1" xfId="0" applyNumberFormat="1" applyFont="1" applyBorder="1" applyAlignment="1">
      <alignment vertical="center"/>
    </xf>
    <xf numFmtId="167" fontId="14" fillId="5" borderId="0" xfId="0" applyNumberFormat="1" applyFont="1" applyFill="1" applyAlignment="1">
      <alignment vertical="center"/>
    </xf>
    <xf numFmtId="167" fontId="7" fillId="0" borderId="1" xfId="0" applyNumberFormat="1" applyFont="1" applyBorder="1" applyAlignment="1">
      <alignment vertical="center"/>
    </xf>
    <xf numFmtId="0" fontId="3" fillId="8" borderId="0" xfId="0" applyFont="1" applyFill="1" applyAlignment="1">
      <alignment horizontal="center" wrapText="1"/>
    </xf>
    <xf numFmtId="0" fontId="14" fillId="0" borderId="0" xfId="0" applyFont="1" applyAlignment="1">
      <alignment vertical="center"/>
    </xf>
    <xf numFmtId="17" fontId="12" fillId="0" borderId="0" xfId="0" applyNumberFormat="1" applyFont="1" applyAlignment="1">
      <alignment vertical="center"/>
    </xf>
    <xf numFmtId="165" fontId="12" fillId="0" borderId="0" xfId="0" applyNumberFormat="1" applyFont="1" applyAlignment="1">
      <alignment vertical="center"/>
    </xf>
    <xf numFmtId="0" fontId="6" fillId="0" borderId="0" xfId="0" applyFont="1" applyAlignment="1">
      <alignment wrapText="1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0" fillId="9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0" xfId="0" applyAlignment="1">
      <alignment wrapText="1"/>
    </xf>
    <xf numFmtId="0" fontId="7" fillId="0" borderId="0" xfId="0" applyFont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wrapText="1"/>
    </xf>
    <xf numFmtId="0" fontId="6" fillId="4" borderId="0" xfId="0" applyFont="1" applyFill="1" applyAlignment="1">
      <alignment vertical="center" wrapText="1"/>
    </xf>
    <xf numFmtId="0" fontId="6" fillId="7" borderId="0" xfId="0" applyFont="1" applyFill="1" applyAlignment="1">
      <alignment vertical="center" wrapText="1"/>
    </xf>
    <xf numFmtId="0" fontId="8" fillId="4" borderId="0" xfId="0" applyFont="1" applyFill="1" applyAlignment="1">
      <alignment vertical="center" wrapText="1"/>
    </xf>
    <xf numFmtId="0" fontId="4" fillId="0" borderId="0" xfId="0" applyFont="1" applyAlignment="1">
      <alignment wrapText="1"/>
    </xf>
    <xf numFmtId="0" fontId="3" fillId="2" borderId="0" xfId="0" applyFont="1" applyFill="1" applyAlignment="1">
      <alignment horizontal="left"/>
    </xf>
    <xf numFmtId="0" fontId="12" fillId="0" borderId="0" xfId="0" applyFont="1" applyAlignment="1">
      <alignment wrapText="1"/>
    </xf>
    <xf numFmtId="0" fontId="10" fillId="2" borderId="0" xfId="0" applyFont="1" applyFill="1" applyAlignment="1">
      <alignment horizontal="left"/>
    </xf>
    <xf numFmtId="0" fontId="2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/>
  </cellXfs>
  <cellStyles count="1">
    <cellStyle name="Normal" xfId="0" builtinId="0"/>
  </cellStyles>
  <dxfs count="35"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78787"/>
      <rgbColor rgb="FF5B9BD5"/>
      <rgbColor rgb="FF993366"/>
      <rgbColor rgb="FFFFF2CC"/>
      <rgbColor rgb="FFD9EA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DEBF7"/>
      <rgbColor rgb="FFE2F0D9"/>
      <rgbColor rgb="FFFFFF99"/>
      <rgbColor rgb="FF99CCFF"/>
      <rgbColor rgb="FFFF99CC"/>
      <rgbColor rgb="FFCC99FF"/>
      <rgbColor rgb="FFF4CCCC"/>
      <rgbColor rgb="FF2F75B5"/>
      <rgbColor rgb="FF33CCCC"/>
      <rgbColor rgb="FF99CC00"/>
      <rgbColor rgb="FFFFCC00"/>
      <rgbColor rgb="FFFF9900"/>
      <rgbColor rgb="FFFF6600"/>
      <rgbColor rgb="FF666666"/>
      <rgbColor rgb="FF70AD47"/>
      <rgbColor rgb="FF17365D"/>
      <rgbColor rgb="FF4A7EBB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Evolución del saldo pendiente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Amortizacion!I5</c:f>
              <c:strCache>
                <c:ptCount val="1"/>
                <c:pt idx="0">
                  <c:v>Saldo final</c:v>
                </c:pt>
              </c:strCache>
            </c:strRef>
          </c:tx>
          <c:spPr>
            <a:ln w="1260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6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Amortizacion!$A$6:$A$605</c:f>
              <c:strCache>
                <c:ptCount val="36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</c:strCache>
            </c:strRef>
          </c:cat>
          <c:val>
            <c:numRef>
              <c:f>Amortizacion!$I$6:$I$605</c:f>
              <c:numCache>
                <c:formatCode>#,##0.00\ [$€-C0A];[Red]\(#,##0.00\ [$€-C0A]\);\-</c:formatCode>
                <c:ptCount val="600"/>
                <c:pt idx="0">
                  <c:v>199656.79193254109</c:v>
                </c:pt>
                <c:pt idx="1">
                  <c:v>199312.72584491354</c:v>
                </c:pt>
                <c:pt idx="2">
                  <c:v>198967.79959206693</c:v>
                </c:pt>
                <c:pt idx="3">
                  <c:v>198622.01102358819</c:v>
                </c:pt>
                <c:pt idx="4">
                  <c:v>198275.35798368827</c:v>
                </c:pt>
                <c:pt idx="5">
                  <c:v>197927.83831118859</c:v>
                </c:pt>
                <c:pt idx="6">
                  <c:v>197579.44983950767</c:v>
                </c:pt>
                <c:pt idx="7">
                  <c:v>197230.19039664752</c:v>
                </c:pt>
                <c:pt idx="8">
                  <c:v>196880.05780518023</c:v>
                </c:pt>
                <c:pt idx="9">
                  <c:v>196529.04988223428</c:v>
                </c:pt>
                <c:pt idx="10">
                  <c:v>196177.16443948096</c:v>
                </c:pt>
                <c:pt idx="11">
                  <c:v>195824.39928312076</c:v>
                </c:pt>
                <c:pt idx="12">
                  <c:v>195470.75221386965</c:v>
                </c:pt>
                <c:pt idx="13">
                  <c:v>195116.22102694542</c:v>
                </c:pt>
                <c:pt idx="14">
                  <c:v>194760.80351205388</c:v>
                </c:pt>
                <c:pt idx="15">
                  <c:v>194404.49745337511</c:v>
                </c:pt>
                <c:pt idx="16">
                  <c:v>194047.30062954963</c:v>
                </c:pt>
                <c:pt idx="17">
                  <c:v>193689.2108136646</c:v>
                </c:pt>
                <c:pt idx="18">
                  <c:v>193330.22577323986</c:v>
                </c:pt>
                <c:pt idx="19">
                  <c:v>192970.34327021404</c:v>
                </c:pt>
                <c:pt idx="20">
                  <c:v>192609.56106093069</c:v>
                </c:pt>
                <c:pt idx="21">
                  <c:v>192247.87689612413</c:v>
                </c:pt>
                <c:pt idx="22">
                  <c:v>191885.28852090554</c:v>
                </c:pt>
                <c:pt idx="23">
                  <c:v>191521.79367474891</c:v>
                </c:pt>
                <c:pt idx="24">
                  <c:v>191157.39009147687</c:v>
                </c:pt>
                <c:pt idx="25">
                  <c:v>190792.07549924665</c:v>
                </c:pt>
                <c:pt idx="26">
                  <c:v>190425.84762053587</c:v>
                </c:pt>
                <c:pt idx="27">
                  <c:v>190058.70417212832</c:v>
                </c:pt>
                <c:pt idx="28">
                  <c:v>189690.64286509974</c:v>
                </c:pt>
                <c:pt idx="29">
                  <c:v>189321.6614048036</c:v>
                </c:pt>
                <c:pt idx="30">
                  <c:v>188951.75749085672</c:v>
                </c:pt>
                <c:pt idx="31">
                  <c:v>188580.92881712495</c:v>
                </c:pt>
                <c:pt idx="32">
                  <c:v>188209.17307170885</c:v>
                </c:pt>
                <c:pt idx="33">
                  <c:v>187836.48793692922</c:v>
                </c:pt>
                <c:pt idx="34">
                  <c:v>187462.87108931263</c:v>
                </c:pt>
                <c:pt idx="35">
                  <c:v>187088.32019957702</c:v>
                </c:pt>
                <c:pt idx="36">
                  <c:v>186712.83293261705</c:v>
                </c:pt>
                <c:pt idx="37">
                  <c:v>186336.40694748968</c:v>
                </c:pt>
                <c:pt idx="38">
                  <c:v>185959.03989739952</c:v>
                </c:pt>
                <c:pt idx="39">
                  <c:v>185580.72942968411</c:v>
                </c:pt>
                <c:pt idx="40">
                  <c:v>185201.47318579943</c:v>
                </c:pt>
                <c:pt idx="41">
                  <c:v>184821.26880130504</c:v>
                </c:pt>
                <c:pt idx="42">
                  <c:v>184440.1139058494</c:v>
                </c:pt>
                <c:pt idx="43">
                  <c:v>184058.00612315512</c:v>
                </c:pt>
                <c:pt idx="44">
                  <c:v>183674.94307100412</c:v>
                </c:pt>
                <c:pt idx="45">
                  <c:v>183290.92236122274</c:v>
                </c:pt>
                <c:pt idx="46">
                  <c:v>182905.9415996669</c:v>
                </c:pt>
                <c:pt idx="47">
                  <c:v>182519.99838620715</c:v>
                </c:pt>
                <c:pt idx="48">
                  <c:v>182133.09031471377</c:v>
                </c:pt>
                <c:pt idx="49">
                  <c:v>181745.21497304164</c:v>
                </c:pt>
                <c:pt idx="50">
                  <c:v>181356.36994301534</c:v>
                </c:pt>
                <c:pt idx="51">
                  <c:v>180966.55280041398</c:v>
                </c:pt>
                <c:pt idx="52">
                  <c:v>180575.76111495611</c:v>
                </c:pt>
                <c:pt idx="53">
                  <c:v>180183.9924502846</c:v>
                </c:pt>
                <c:pt idx="54">
                  <c:v>179791.24436395141</c:v>
                </c:pt>
                <c:pt idx="55">
                  <c:v>179397.5144074024</c:v>
                </c:pt>
                <c:pt idx="56">
                  <c:v>179002.80012596201</c:v>
                </c:pt>
                <c:pt idx="57">
                  <c:v>178607.09905881801</c:v>
                </c:pt>
                <c:pt idx="58">
                  <c:v>178210.40873900615</c:v>
                </c:pt>
                <c:pt idx="59">
                  <c:v>177812.72669339477</c:v>
                </c:pt>
                <c:pt idx="60">
                  <c:v>177414.05044266937</c:v>
                </c:pt>
                <c:pt idx="61">
                  <c:v>177014.37750131713</c:v>
                </c:pt>
                <c:pt idx="62">
                  <c:v>176613.70537761151</c:v>
                </c:pt>
                <c:pt idx="63">
                  <c:v>176212.03157359664</c:v>
                </c:pt>
                <c:pt idx="64">
                  <c:v>175809.35358507175</c:v>
                </c:pt>
                <c:pt idx="65">
                  <c:v>175405.66890157553</c:v>
                </c:pt>
                <c:pt idx="66">
                  <c:v>175000.97500637057</c:v>
                </c:pt>
                <c:pt idx="67">
                  <c:v>174595.2693764276</c:v>
                </c:pt>
                <c:pt idx="68">
                  <c:v>174188.54948240978</c:v>
                </c:pt>
                <c:pt idx="69">
                  <c:v>173780.81278865691</c:v>
                </c:pt>
                <c:pt idx="70">
                  <c:v>173372.05675316966</c:v>
                </c:pt>
                <c:pt idx="71">
                  <c:v>172962.27882759369</c:v>
                </c:pt>
                <c:pt idx="72">
                  <c:v>172551.47645720377</c:v>
                </c:pt>
                <c:pt idx="73">
                  <c:v>172139.64708088787</c:v>
                </c:pt>
                <c:pt idx="74">
                  <c:v>171726.78813113118</c:v>
                </c:pt>
                <c:pt idx="75">
                  <c:v>171312.89703400011</c:v>
                </c:pt>
                <c:pt idx="76">
                  <c:v>170897.9712091262</c:v>
                </c:pt>
                <c:pt idx="77">
                  <c:v>170482.00806969011</c:v>
                </c:pt>
                <c:pt idx="78">
                  <c:v>170065.00502240544</c:v>
                </c:pt>
                <c:pt idx="79">
                  <c:v>169646.95946750254</c:v>
                </c:pt>
                <c:pt idx="80">
                  <c:v>169227.86879871238</c:v>
                </c:pt>
                <c:pt idx="81">
                  <c:v>168807.73040325026</c:v>
                </c:pt>
                <c:pt idx="82">
                  <c:v>168386.54166179948</c:v>
                </c:pt>
                <c:pt idx="83">
                  <c:v>167964.29994849509</c:v>
                </c:pt>
                <c:pt idx="84">
                  <c:v>167541.00263090743</c:v>
                </c:pt>
                <c:pt idx="85">
                  <c:v>167116.64707002579</c:v>
                </c:pt>
                <c:pt idx="86">
                  <c:v>166691.23062024196</c:v>
                </c:pt>
                <c:pt idx="87">
                  <c:v>166264.75062933366</c:v>
                </c:pt>
                <c:pt idx="88">
                  <c:v>165837.2044384481</c:v>
                </c:pt>
                <c:pt idx="89">
                  <c:v>165408.58938208531</c:v>
                </c:pt>
                <c:pt idx="90">
                  <c:v>164978.90278808161</c:v>
                </c:pt>
                <c:pt idx="91">
                  <c:v>164548.14197759292</c:v>
                </c:pt>
                <c:pt idx="92">
                  <c:v>164116.30426507801</c:v>
                </c:pt>
                <c:pt idx="93">
                  <c:v>163683.3869582818</c:v>
                </c:pt>
                <c:pt idx="94">
                  <c:v>163249.38735821861</c:v>
                </c:pt>
                <c:pt idx="95">
                  <c:v>162814.30275915525</c:v>
                </c:pt>
                <c:pt idx="96">
                  <c:v>162378.13044859425</c:v>
                </c:pt>
                <c:pt idx="97">
                  <c:v>161940.86770725684</c:v>
                </c:pt>
                <c:pt idx="98">
                  <c:v>161502.51180906608</c:v>
                </c:pt>
                <c:pt idx="99">
                  <c:v>161063.06002112984</c:v>
                </c:pt>
                <c:pt idx="100">
                  <c:v>160622.50960372377</c:v>
                </c:pt>
                <c:pt idx="101">
                  <c:v>160180.85781027417</c:v>
                </c:pt>
                <c:pt idx="102">
                  <c:v>159738.10188734095</c:v>
                </c:pt>
                <c:pt idx="103">
                  <c:v>159294.23907460039</c:v>
                </c:pt>
                <c:pt idx="104">
                  <c:v>158849.26660482801</c:v>
                </c:pt>
                <c:pt idx="105">
                  <c:v>158403.18170388119</c:v>
                </c:pt>
                <c:pt idx="106">
                  <c:v>157955.981590682</c:v>
                </c:pt>
                <c:pt idx="107">
                  <c:v>157507.66347719979</c:v>
                </c:pt>
                <c:pt idx="108">
                  <c:v>157058.22456843388</c:v>
                </c:pt>
                <c:pt idx="109">
                  <c:v>156607.66206239606</c:v>
                </c:pt>
                <c:pt idx="110">
                  <c:v>156155.97315009314</c:v>
                </c:pt>
                <c:pt idx="111">
                  <c:v>155703.15501550946</c:v>
                </c:pt>
                <c:pt idx="112">
                  <c:v>155249.20483558933</c:v>
                </c:pt>
                <c:pt idx="113">
                  <c:v>154794.11978021939</c:v>
                </c:pt>
                <c:pt idx="114">
                  <c:v>154337.89701221103</c:v>
                </c:pt>
                <c:pt idx="115">
                  <c:v>153880.53368728267</c:v>
                </c:pt>
                <c:pt idx="116">
                  <c:v>153422.02695404197</c:v>
                </c:pt>
                <c:pt idx="117">
                  <c:v>152962.37395396817</c:v>
                </c:pt>
                <c:pt idx="118">
                  <c:v>152501.5718213942</c:v>
                </c:pt>
                <c:pt idx="119">
                  <c:v>152039.61768348879</c:v>
                </c:pt>
                <c:pt idx="120">
                  <c:v>151576.50866023861</c:v>
                </c:pt>
                <c:pt idx="121">
                  <c:v>151112.24186443031</c:v>
                </c:pt>
                <c:pt idx="122">
                  <c:v>150646.81440163249</c:v>
                </c:pt>
                <c:pt idx="123">
                  <c:v>150180.22337017767</c:v>
                </c:pt>
                <c:pt idx="124">
                  <c:v>149712.46586114421</c:v>
                </c:pt>
                <c:pt idx="125">
                  <c:v>149243.53895833818</c:v>
                </c:pt>
                <c:pt idx="126">
                  <c:v>148773.43973827513</c:v>
                </c:pt>
                <c:pt idx="127">
                  <c:v>148302.16527016193</c:v>
                </c:pt>
                <c:pt idx="128">
                  <c:v>147829.71261587844</c:v>
                </c:pt>
                <c:pt idx="129">
                  <c:v>147356.07882995924</c:v>
                </c:pt>
                <c:pt idx="130">
                  <c:v>146881.26095957524</c:v>
                </c:pt>
                <c:pt idx="131">
                  <c:v>146405.25604451529</c:v>
                </c:pt>
                <c:pt idx="132">
                  <c:v>145928.06111716767</c:v>
                </c:pt>
                <c:pt idx="133">
                  <c:v>145449.6732025017</c:v>
                </c:pt>
                <c:pt idx="134">
                  <c:v>144970.08931804905</c:v>
                </c:pt>
                <c:pt idx="135">
                  <c:v>144489.30647388528</c:v>
                </c:pt>
                <c:pt idx="136">
                  <c:v>144007.32167261108</c:v>
                </c:pt>
                <c:pt idx="137">
                  <c:v>143524.13190933372</c:v>
                </c:pt>
                <c:pt idx="138">
                  <c:v>143039.73417164816</c:v>
                </c:pt>
                <c:pt idx="139">
                  <c:v>142554.12543961839</c:v>
                </c:pt>
                <c:pt idx="140">
                  <c:v>142067.30268575854</c:v>
                </c:pt>
                <c:pt idx="141">
                  <c:v>141579.26287501404</c:v>
                </c:pt>
                <c:pt idx="142">
                  <c:v>141090.00296474269</c:v>
                </c:pt>
                <c:pt idx="143">
                  <c:v>140599.51990469565</c:v>
                </c:pt>
                <c:pt idx="144">
                  <c:v>140107.8106369985</c:v>
                </c:pt>
                <c:pt idx="145">
                  <c:v>139614.87209613211</c:v>
                </c:pt>
                <c:pt idx="146">
                  <c:v>139120.70120891352</c:v>
                </c:pt>
                <c:pt idx="147">
                  <c:v>138625.29489447692</c:v>
                </c:pt>
                <c:pt idx="148">
                  <c:v>138128.65006425421</c:v>
                </c:pt>
                <c:pt idx="149">
                  <c:v>137630.76362195594</c:v>
                </c:pt>
                <c:pt idx="150">
                  <c:v>137131.63246355191</c:v>
                </c:pt>
                <c:pt idx="151">
                  <c:v>136631.25347725188</c:v>
                </c:pt>
                <c:pt idx="152">
                  <c:v>136129.62354348612</c:v>
                </c:pt>
                <c:pt idx="153">
                  <c:v>135626.73953488594</c:v>
                </c:pt>
                <c:pt idx="154">
                  <c:v>135122.59831626425</c:v>
                </c:pt>
                <c:pt idx="155">
                  <c:v>134617.196744596</c:v>
                </c:pt>
                <c:pt idx="156">
                  <c:v>134110.53166899859</c:v>
                </c:pt>
                <c:pt idx="157">
                  <c:v>133602.5999307122</c:v>
                </c:pt>
                <c:pt idx="158">
                  <c:v>133093.39836308008</c:v>
                </c:pt>
                <c:pt idx="159">
                  <c:v>132582.92379152888</c:v>
                </c:pt>
                <c:pt idx="160">
                  <c:v>132071.17303354881</c:v>
                </c:pt>
                <c:pt idx="161">
                  <c:v>131558.14289867377</c:v>
                </c:pt>
                <c:pt idx="162">
                  <c:v>131043.83018846155</c:v>
                </c:pt>
                <c:pt idx="163">
                  <c:v>130528.2316964738</c:v>
                </c:pt>
                <c:pt idx="164">
                  <c:v>130011.34420825608</c:v>
                </c:pt>
                <c:pt idx="165">
                  <c:v>129493.16450131782</c:v>
                </c:pt>
                <c:pt idx="166">
                  <c:v>128973.68934511222</c:v>
                </c:pt>
                <c:pt idx="167">
                  <c:v>128452.91550101609</c:v>
                </c:pt>
                <c:pt idx="168">
                  <c:v>127930.83972230973</c:v>
                </c:pt>
                <c:pt idx="169">
                  <c:v>127407.4587541566</c:v>
                </c:pt>
                <c:pt idx="170">
                  <c:v>126882.76933358308</c:v>
                </c:pt>
                <c:pt idx="171">
                  <c:v>126356.76818945815</c:v>
                </c:pt>
                <c:pt idx="172">
                  <c:v>125829.4520424729</c:v>
                </c:pt>
                <c:pt idx="173">
                  <c:v>125300.81760512017</c:v>
                </c:pt>
                <c:pt idx="174">
                  <c:v>124770.86158167408</c:v>
                </c:pt>
                <c:pt idx="175">
                  <c:v>124239.58066816936</c:v>
                </c:pt>
                <c:pt idx="176">
                  <c:v>123706.97155238088</c:v>
                </c:pt>
                <c:pt idx="177">
                  <c:v>123173.03091380294</c:v>
                </c:pt>
                <c:pt idx="178">
                  <c:v>122637.75542362855</c:v>
                </c:pt>
                <c:pt idx="179">
                  <c:v>122101.14174472872</c:v>
                </c:pt>
                <c:pt idx="180">
                  <c:v>121563.18653163164</c:v>
                </c:pt>
                <c:pt idx="181">
                  <c:v>121023.88643050182</c:v>
                </c:pt>
                <c:pt idx="182">
                  <c:v>120483.23807911917</c:v>
                </c:pt>
                <c:pt idx="183">
                  <c:v>119941.23810685806</c:v>
                </c:pt>
                <c:pt idx="184">
                  <c:v>119397.88313466631</c:v>
                </c:pt>
                <c:pt idx="185">
                  <c:v>118853.16977504407</c:v>
                </c:pt>
                <c:pt idx="186">
                  <c:v>118307.09463202278</c:v>
                </c:pt>
                <c:pt idx="187">
                  <c:v>117759.65430114394</c:v>
                </c:pt>
                <c:pt idx="188">
                  <c:v>117210.8453694379</c:v>
                </c:pt>
                <c:pt idx="189">
                  <c:v>116660.66441540259</c:v>
                </c:pt>
                <c:pt idx="190">
                  <c:v>116109.10800898219</c:v>
                </c:pt>
                <c:pt idx="191">
                  <c:v>115556.17271154575</c:v>
                </c:pt>
                <c:pt idx="192">
                  <c:v>115001.85507586571</c:v>
                </c:pt>
                <c:pt idx="193">
                  <c:v>114446.15164609648</c:v>
                </c:pt>
                <c:pt idx="194">
                  <c:v>113889.05895775282</c:v>
                </c:pt>
                <c:pt idx="195">
                  <c:v>113330.57353768829</c:v>
                </c:pt>
                <c:pt idx="196">
                  <c:v>112770.69190407361</c:v>
                </c:pt>
                <c:pt idx="197">
                  <c:v>112209.41056637489</c:v>
                </c:pt>
                <c:pt idx="198">
                  <c:v>111646.72602533193</c:v>
                </c:pt>
                <c:pt idx="199">
                  <c:v>111082.63477293635</c:v>
                </c:pt>
                <c:pt idx="200">
                  <c:v>110517.1332924098</c:v>
                </c:pt>
                <c:pt idx="201">
                  <c:v>109950.21805818191</c:v>
                </c:pt>
                <c:pt idx="202">
                  <c:v>109381.88553586847</c:v>
                </c:pt>
                <c:pt idx="203">
                  <c:v>108812.13218224923</c:v>
                </c:pt>
                <c:pt idx="204">
                  <c:v>108240.95444524595</c:v>
                </c:pt>
                <c:pt idx="205">
                  <c:v>107668.34876390017</c:v>
                </c:pt>
                <c:pt idx="206">
                  <c:v>107094.31156835101</c:v>
                </c:pt>
                <c:pt idx="207">
                  <c:v>106518.83927981299</c:v>
                </c:pt>
                <c:pt idx="208">
                  <c:v>105941.92831055363</c:v>
                </c:pt>
                <c:pt idx="209">
                  <c:v>105363.57506387112</c:v>
                </c:pt>
                <c:pt idx="210">
                  <c:v>104783.77593407189</c:v>
                </c:pt>
                <c:pt idx="211">
                  <c:v>104202.52730644817</c:v>
                </c:pt>
                <c:pt idx="212">
                  <c:v>103619.82555725539</c:v>
                </c:pt>
                <c:pt idx="213">
                  <c:v>103035.66705368963</c:v>
                </c:pt>
                <c:pt idx="214">
                  <c:v>102450.04815386495</c:v>
                </c:pt>
                <c:pt idx="215">
                  <c:v>101862.96520679072</c:v>
                </c:pt>
                <c:pt idx="216">
                  <c:v>101274.4145523488</c:v>
                </c:pt>
                <c:pt idx="217">
                  <c:v>100684.39252127077</c:v>
                </c:pt>
                <c:pt idx="218">
                  <c:v>100092.89543511505</c:v>
                </c:pt>
                <c:pt idx="219">
                  <c:v>99499.91960624393</c:v>
                </c:pt>
                <c:pt idx="220">
                  <c:v>98905.461337800632</c:v>
                </c:pt>
                <c:pt idx="221">
                  <c:v>98309.516923686228</c:v>
                </c:pt>
                <c:pt idx="222">
                  <c:v>97712.08264853654</c:v>
                </c:pt>
                <c:pt idx="223">
                  <c:v>97113.154787698979</c:v>
                </c:pt>
                <c:pt idx="224">
                  <c:v>96512.72960720933</c:v>
                </c:pt>
                <c:pt idx="225">
                  <c:v>95910.803363768457</c:v>
                </c:pt>
                <c:pt idx="226">
                  <c:v>95307.372304718971</c:v>
                </c:pt>
                <c:pt idx="227">
                  <c:v>94702.432668021866</c:v>
                </c:pt>
                <c:pt idx="228">
                  <c:v>94095.980682233014</c:v>
                </c:pt>
                <c:pt idx="229">
                  <c:v>93488.012566479694</c:v>
                </c:pt>
                <c:pt idx="230">
                  <c:v>92878.524530436989</c:v>
                </c:pt>
                <c:pt idx="231">
                  <c:v>92267.512774304181</c:v>
                </c:pt>
                <c:pt idx="232">
                  <c:v>91654.973488781034</c:v>
                </c:pt>
                <c:pt idx="233">
                  <c:v>91040.902855044085</c:v>
                </c:pt>
                <c:pt idx="234">
                  <c:v>90425.2970447228</c:v>
                </c:pt>
                <c:pt idx="235">
                  <c:v>89808.152219875701</c:v>
                </c:pt>
                <c:pt idx="236">
                  <c:v>89189.464532966493</c:v>
                </c:pt>
                <c:pt idx="237">
                  <c:v>88569.230126840004</c:v>
                </c:pt>
                <c:pt idx="238">
                  <c:v>87947.44513469821</c:v>
                </c:pt>
                <c:pt idx="239">
                  <c:v>87324.105680076056</c:v>
                </c:pt>
                <c:pt idx="240">
                  <c:v>86699.207876817352</c:v>
                </c:pt>
                <c:pt idx="241">
                  <c:v>86072.747829050495</c:v>
                </c:pt>
                <c:pt idx="242">
                  <c:v>85444.721631164226</c:v>
                </c:pt>
                <c:pt idx="243">
                  <c:v>84815.125367783243</c:v>
                </c:pt>
                <c:pt idx="244">
                  <c:v>84183.955113743796</c:v>
                </c:pt>
                <c:pt idx="245">
                  <c:v>83551.206934069254</c:v>
                </c:pt>
                <c:pt idx="246">
                  <c:v>82916.87688394553</c:v>
                </c:pt>
                <c:pt idx="247">
                  <c:v>82280.961008696497</c:v>
                </c:pt>
                <c:pt idx="248">
                  <c:v>81643.455343759342</c:v>
                </c:pt>
                <c:pt idx="249">
                  <c:v>81004.355914659842</c:v>
                </c:pt>
                <c:pt idx="250">
                  <c:v>80363.658736987592</c:v>
                </c:pt>
                <c:pt idx="251">
                  <c:v>79721.359816371158</c:v>
                </c:pt>
                <c:pt idx="252">
                  <c:v>79077.455148453184</c:v>
                </c:pt>
                <c:pt idx="253">
                  <c:v>78431.940718865415</c:v>
                </c:pt>
                <c:pt idx="254">
                  <c:v>77784.812503203677</c:v>
                </c:pt>
                <c:pt idx="255">
                  <c:v>77136.066467002791</c:v>
                </c:pt>
                <c:pt idx="256">
                  <c:v>76485.698565711398</c:v>
                </c:pt>
                <c:pt idx="257">
                  <c:v>75833.704744666771</c:v>
                </c:pt>
                <c:pt idx="258">
                  <c:v>75180.080939069536</c:v>
                </c:pt>
                <c:pt idx="259">
                  <c:v>74524.823073958309</c:v>
                </c:pt>
                <c:pt idx="260">
                  <c:v>73867.927064184303</c:v>
                </c:pt>
                <c:pt idx="261">
                  <c:v>73209.388814385864</c:v>
                </c:pt>
                <c:pt idx="262">
                  <c:v>72549.204218962928</c:v>
                </c:pt>
                <c:pt idx="263">
                  <c:v>71887.369162051429</c:v>
                </c:pt>
                <c:pt idx="264">
                  <c:v>71223.879517497655</c:v>
                </c:pt>
                <c:pt idx="265">
                  <c:v>70558.731148832492</c:v>
                </c:pt>
                <c:pt idx="266">
                  <c:v>69891.919909245669</c:v>
                </c:pt>
                <c:pt idx="267">
                  <c:v>69223.441641559883</c:v>
                </c:pt>
                <c:pt idx="268">
                  <c:v>68553.29217820488</c:v>
                </c:pt>
                <c:pt idx="269">
                  <c:v>67881.467341191485</c:v>
                </c:pt>
                <c:pt idx="270">
                  <c:v>67207.962942085564</c:v>
                </c:pt>
                <c:pt idx="271">
                  <c:v>66532.774781981876</c:v>
                </c:pt>
                <c:pt idx="272">
                  <c:v>65855.898651477924</c:v>
                </c:pt>
                <c:pt idx="273">
                  <c:v>65177.330330647717</c:v>
                </c:pt>
                <c:pt idx="274">
                  <c:v>64497.065589015438</c:v>
                </c:pt>
                <c:pt idx="275">
                  <c:v>63815.100185529074</c:v>
                </c:pt>
                <c:pt idx="276">
                  <c:v>63131.429868533996</c:v>
                </c:pt>
                <c:pt idx="277">
                  <c:v>62446.050375746432</c:v>
                </c:pt>
                <c:pt idx="278">
                  <c:v>61758.957434226897</c:v>
                </c:pt>
                <c:pt idx="279">
                  <c:v>61070.146760353564</c:v>
                </c:pt>
                <c:pt idx="280">
                  <c:v>60379.614059795545</c:v>
                </c:pt>
                <c:pt idx="281">
                  <c:v>59687.355027486134</c:v>
                </c:pt>
                <c:pt idx="282">
                  <c:v>58993.365347595951</c:v>
                </c:pt>
                <c:pt idx="283">
                  <c:v>58297.640693506037</c:v>
                </c:pt>
                <c:pt idx="284">
                  <c:v>57600.176727780898</c:v>
                </c:pt>
                <c:pt idx="285">
                  <c:v>56900.969102141447</c:v>
                </c:pt>
                <c:pt idx="286">
                  <c:v>56200.013457437897</c:v>
                </c:pt>
                <c:pt idx="287">
                  <c:v>55497.305423622594</c:v>
                </c:pt>
                <c:pt idx="288">
                  <c:v>54792.840619722752</c:v>
                </c:pt>
                <c:pt idx="289">
                  <c:v>54086.614653813158</c:v>
                </c:pt>
                <c:pt idx="290">
                  <c:v>53378.623122988793</c:v>
                </c:pt>
                <c:pt idx="291">
                  <c:v>52668.861613337365</c:v>
                </c:pt>
                <c:pt idx="292">
                  <c:v>51957.325699911809</c:v>
                </c:pt>
                <c:pt idx="293">
                  <c:v>51244.010946702685</c:v>
                </c:pt>
                <c:pt idx="294">
                  <c:v>50528.912906610538</c:v>
                </c:pt>
                <c:pt idx="295">
                  <c:v>49812.027121418163</c:v>
                </c:pt>
                <c:pt idx="296">
                  <c:v>49093.349121762811</c:v>
                </c:pt>
                <c:pt idx="297">
                  <c:v>48372.87442710832</c:v>
                </c:pt>
                <c:pt idx="298">
                  <c:v>47650.598545717192</c:v>
                </c:pt>
                <c:pt idx="299">
                  <c:v>46926.516974622587</c:v>
                </c:pt>
                <c:pt idx="300">
                  <c:v>46200.625199600239</c:v>
                </c:pt>
                <c:pt idx="301">
                  <c:v>45472.918695140339</c:v>
                </c:pt>
                <c:pt idx="302">
                  <c:v>44743.392924419291</c:v>
                </c:pt>
                <c:pt idx="303">
                  <c:v>44012.04333927144</c:v>
                </c:pt>
                <c:pt idx="304">
                  <c:v>43278.865380160722</c:v>
                </c:pt>
                <c:pt idx="305">
                  <c:v>42543.854476152221</c:v>
                </c:pt>
                <c:pt idx="306">
                  <c:v>41807.006044883703</c:v>
                </c:pt>
                <c:pt idx="307">
                  <c:v>41068.315492537011</c:v>
                </c:pt>
                <c:pt idx="308">
                  <c:v>40327.778213809455</c:v>
                </c:pt>
                <c:pt idx="309">
                  <c:v>39585.389591885076</c:v>
                </c:pt>
                <c:pt idx="310">
                  <c:v>38841.144998405885</c:v>
                </c:pt>
                <c:pt idx="311">
                  <c:v>38095.039793443</c:v>
                </c:pt>
                <c:pt idx="312">
                  <c:v>37347.06932546771</c:v>
                </c:pt>
                <c:pt idx="313">
                  <c:v>36597.228931322476</c:v>
                </c:pt>
                <c:pt idx="314">
                  <c:v>35845.513936191877</c:v>
                </c:pt>
                <c:pt idx="315">
                  <c:v>35091.919653573459</c:v>
                </c:pt>
                <c:pt idx="316">
                  <c:v>34336.441385248494</c:v>
                </c:pt>
                <c:pt idx="317">
                  <c:v>33579.074421252713</c:v>
                </c:pt>
                <c:pt idx="318">
                  <c:v>32819.814039846948</c:v>
                </c:pt>
                <c:pt idx="319">
                  <c:v>32058.655507487663</c:v>
                </c:pt>
                <c:pt idx="320">
                  <c:v>31295.594078797483</c:v>
                </c:pt>
                <c:pt idx="321">
                  <c:v>30530.624996535575</c:v>
                </c:pt>
                <c:pt idx="322">
                  <c:v>29763.743491568013</c:v>
                </c:pt>
                <c:pt idx="323">
                  <c:v>28994.944782838033</c:v>
                </c:pt>
                <c:pt idx="324">
                  <c:v>28224.224077336228</c:v>
                </c:pt>
                <c:pt idx="325">
                  <c:v>27451.576570070669</c:v>
                </c:pt>
                <c:pt idx="326">
                  <c:v>26676.997444036944</c:v>
                </c:pt>
                <c:pt idx="327">
                  <c:v>25900.481870188134</c:v>
                </c:pt>
                <c:pt idx="328">
                  <c:v>25122.025007404704</c:v>
                </c:pt>
                <c:pt idx="329">
                  <c:v>24341.622002464315</c:v>
                </c:pt>
                <c:pt idx="330">
                  <c:v>23559.267990011576</c:v>
                </c:pt>
                <c:pt idx="331">
                  <c:v>22774.958092527704</c:v>
                </c:pt>
                <c:pt idx="332">
                  <c:v>21988.687420300121</c:v>
                </c:pt>
                <c:pt idx="333">
                  <c:v>21200.45107139197</c:v>
                </c:pt>
                <c:pt idx="334">
                  <c:v>20410.244131611547</c:v>
                </c:pt>
                <c:pt idx="335">
                  <c:v>19618.061674481676</c:v>
                </c:pt>
                <c:pt idx="336">
                  <c:v>18823.89876120898</c:v>
                </c:pt>
                <c:pt idx="337">
                  <c:v>18027.750440653101</c:v>
                </c:pt>
                <c:pt idx="338">
                  <c:v>17229.611749295833</c:v>
                </c:pt>
                <c:pt idx="339">
                  <c:v>16429.477711210173</c:v>
                </c:pt>
                <c:pt idx="340">
                  <c:v>15627.343338029297</c:v>
                </c:pt>
                <c:pt idx="341">
                  <c:v>14823.203628915469</c:v>
                </c:pt>
                <c:pt idx="342">
                  <c:v>14017.053570528857</c:v>
                </c:pt>
                <c:pt idx="343">
                  <c:v>13208.888136996278</c:v>
                </c:pt>
                <c:pt idx="344">
                  <c:v>12398.702289879868</c:v>
                </c:pt>
                <c:pt idx="345">
                  <c:v>11586.490978145666</c:v>
                </c:pt>
                <c:pt idx="346">
                  <c:v>10772.249138132129</c:v>
                </c:pt>
                <c:pt idx="347">
                  <c:v>9955.9716935185588</c:v>
                </c:pt>
                <c:pt idx="348">
                  <c:v>9137.6535552934547</c:v>
                </c:pt>
                <c:pt idx="349">
                  <c:v>8317.2896217227881</c:v>
                </c:pt>
                <c:pt idx="350">
                  <c:v>7494.8747783181943</c:v>
                </c:pt>
                <c:pt idx="351">
                  <c:v>6670.4038978050885</c:v>
                </c:pt>
                <c:pt idx="352">
                  <c:v>5843.8718400907001</c:v>
                </c:pt>
                <c:pt idx="353">
                  <c:v>5015.2734522320261</c:v>
                </c:pt>
                <c:pt idx="354">
                  <c:v>4184.6035684037051</c:v>
                </c:pt>
                <c:pt idx="355">
                  <c:v>3351.8570098658133</c:v>
                </c:pt>
                <c:pt idx="356">
                  <c:v>2517.0285849315769</c:v>
                </c:pt>
                <c:pt idx="357">
                  <c:v>1680.113088935005</c:v>
                </c:pt>
                <c:pt idx="358">
                  <c:v>841.10530419844156</c:v>
                </c:pt>
                <c:pt idx="359">
                  <c:v>3.6720848584081978E-11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231-458C-B7B6-B4AA33F80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4913647"/>
        <c:axId val="67668410"/>
      </c:lineChart>
      <c:catAx>
        <c:axId val="14913647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Mes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67668410"/>
        <c:crosses val="autoZero"/>
        <c:auto val="1"/>
        <c:lblAlgn val="ctr"/>
        <c:lblOffset val="100"/>
        <c:noMultiLvlLbl val="0"/>
      </c:catAx>
      <c:valAx>
        <c:axId val="6766841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Saldo (€)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\ [$€-C0A];[Red]\(#,##0.00\ [$€-C0A]\)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14913647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9</xdr:row>
      <xdr:rowOff>0</xdr:rowOff>
    </xdr:from>
    <xdr:to>
      <xdr:col>17</xdr:col>
      <xdr:colOff>493560</xdr:colOff>
      <xdr:row>24</xdr:row>
      <xdr:rowOff>21960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H27"/>
  <sheetViews>
    <sheetView showGridLines="0" tabSelected="1" zoomScale="90" zoomScaleNormal="90" workbookViewId="0">
      <pane ySplit="4" topLeftCell="A5" activePane="bottomLeft" state="frozen"/>
      <selection pane="bottomLeft" activeCell="G6" sqref="G6:H10"/>
    </sheetView>
  </sheetViews>
  <sheetFormatPr defaultColWidth="8.7109375" defaultRowHeight="15"/>
  <cols>
    <col min="1" max="1" width="28" customWidth="1"/>
    <col min="2" max="2" width="18" customWidth="1"/>
    <col min="3" max="3" width="4" customWidth="1"/>
    <col min="4" max="4" width="28" customWidth="1"/>
    <col min="5" max="5" width="18" customWidth="1"/>
    <col min="6" max="6" width="4" customWidth="1"/>
    <col min="7" max="7" width="25" customWidth="1"/>
    <col min="8" max="8" width="18" customWidth="1"/>
  </cols>
  <sheetData>
    <row r="1" spans="1:8" ht="30" customHeight="1">
      <c r="A1" s="53" t="s">
        <v>0</v>
      </c>
      <c r="B1" s="53"/>
      <c r="C1" s="53"/>
      <c r="D1" s="53"/>
      <c r="E1" s="53"/>
      <c r="F1" s="53"/>
      <c r="G1" s="53"/>
      <c r="H1" s="53"/>
    </row>
    <row r="3" spans="1:8" ht="15" customHeight="1">
      <c r="A3" s="54" t="s">
        <v>1</v>
      </c>
      <c r="B3" s="54"/>
      <c r="C3" s="54"/>
      <c r="D3" s="54"/>
      <c r="E3" s="54"/>
      <c r="F3" s="54"/>
      <c r="G3" s="54"/>
      <c r="H3" s="54"/>
    </row>
    <row r="5" spans="1:8">
      <c r="A5" s="50" t="s">
        <v>2</v>
      </c>
      <c r="B5" s="50"/>
      <c r="C5" s="50"/>
      <c r="D5" s="50"/>
      <c r="E5" s="50"/>
      <c r="F5" s="50"/>
      <c r="G5" s="50"/>
      <c r="H5" s="50"/>
    </row>
    <row r="6" spans="1:8" ht="24" customHeight="1">
      <c r="A6" s="3" t="s">
        <v>3</v>
      </c>
      <c r="B6" s="4">
        <f>Datos!B4</f>
        <v>250000</v>
      </c>
      <c r="D6" s="3" t="s">
        <v>4</v>
      </c>
      <c r="E6" s="4">
        <f>Datos!B5</f>
        <v>260000</v>
      </c>
      <c r="G6" s="55" t="s">
        <v>5</v>
      </c>
      <c r="H6" s="55"/>
    </row>
    <row r="7" spans="1:8" ht="24" customHeight="1">
      <c r="A7" s="3" t="s">
        <v>6</v>
      </c>
      <c r="B7" s="5">
        <f>Datos!B7</f>
        <v>0.8</v>
      </c>
      <c r="D7" s="3" t="s">
        <v>7</v>
      </c>
      <c r="E7" s="4">
        <f>Datos!B10</f>
        <v>200000</v>
      </c>
      <c r="G7" s="55"/>
      <c r="H7" s="55"/>
    </row>
    <row r="8" spans="1:8" ht="24" customHeight="1">
      <c r="A8" s="3" t="s">
        <v>8</v>
      </c>
      <c r="B8" s="6">
        <f>Datos!B11</f>
        <v>30</v>
      </c>
      <c r="D8" s="3" t="s">
        <v>9</v>
      </c>
      <c r="E8" s="5">
        <f>Datos!B17</f>
        <v>0.03</v>
      </c>
      <c r="G8" s="55"/>
      <c r="H8" s="55"/>
    </row>
    <row r="9" spans="1:8" ht="24" customHeight="1">
      <c r="A9" s="3" t="s">
        <v>10</v>
      </c>
      <c r="B9" s="7">
        <f>Titulares!B4</f>
        <v>2</v>
      </c>
      <c r="D9" s="3" t="s">
        <v>11</v>
      </c>
      <c r="E9" s="8">
        <f>Datos!B29</f>
        <v>4300</v>
      </c>
      <c r="G9" s="55"/>
      <c r="H9" s="55"/>
    </row>
    <row r="10" spans="1:8" ht="24" customHeight="1">
      <c r="A10" s="3" t="s">
        <v>12</v>
      </c>
      <c r="B10" s="8">
        <f>Datos!B30</f>
        <v>0</v>
      </c>
      <c r="D10" s="3" t="s">
        <v>13</v>
      </c>
      <c r="E10" s="8">
        <f>Datos!B28</f>
        <v>80000</v>
      </c>
      <c r="G10" s="55"/>
      <c r="H10" s="55"/>
    </row>
    <row r="12" spans="1:8">
      <c r="A12" s="50" t="s">
        <v>14</v>
      </c>
      <c r="B12" s="50"/>
      <c r="C12" s="50"/>
      <c r="D12" s="50"/>
      <c r="E12" s="50"/>
      <c r="F12" s="50"/>
      <c r="G12" s="50"/>
      <c r="H12" s="50"/>
    </row>
    <row r="13" spans="1:8" ht="27.75" customHeight="1">
      <c r="A13" s="3" t="s">
        <v>15</v>
      </c>
      <c r="B13" s="9">
        <f>Datos!B20</f>
        <v>843.20806745890093</v>
      </c>
      <c r="D13" s="3" t="s">
        <v>16</v>
      </c>
      <c r="E13" s="9">
        <f>Gastos!B26</f>
        <v>77600</v>
      </c>
    </row>
    <row r="14" spans="1:8" ht="27.75" customHeight="1">
      <c r="A14" s="3" t="s">
        <v>17</v>
      </c>
      <c r="B14" s="10">
        <f>Datos!B31</f>
        <v>0.19609489940904673</v>
      </c>
      <c r="D14" s="3" t="s">
        <v>18</v>
      </c>
      <c r="E14" s="9">
        <f>Gastos!B28</f>
        <v>2400</v>
      </c>
    </row>
    <row r="15" spans="1:8" ht="27.75" customHeight="1">
      <c r="A15" s="3" t="s">
        <v>19</v>
      </c>
      <c r="B15" s="10">
        <f>Datos!B33</f>
        <v>0.8</v>
      </c>
      <c r="D15" s="3" t="s">
        <v>20</v>
      </c>
      <c r="E15" s="9">
        <f>Gastos!B25</f>
        <v>27600</v>
      </c>
    </row>
    <row r="16" spans="1:8" ht="27.75" customHeight="1">
      <c r="A16" s="3" t="s">
        <v>21</v>
      </c>
      <c r="B16" s="9">
        <f>Amortizacion!M5</f>
        <v>103554.90428520436</v>
      </c>
      <c r="D16" s="3" t="s">
        <v>22</v>
      </c>
      <c r="E16" s="9">
        <f>Datos!B22</f>
        <v>843.20806745890093</v>
      </c>
    </row>
    <row r="18" spans="1:8">
      <c r="A18" s="50" t="s">
        <v>23</v>
      </c>
      <c r="B18" s="50"/>
      <c r="C18" s="50"/>
      <c r="D18" s="50"/>
      <c r="E18" s="50"/>
      <c r="F18" s="50"/>
      <c r="G18" s="50"/>
      <c r="H18" s="50"/>
    </row>
    <row r="19" spans="1:8" ht="30" customHeight="1">
      <c r="A19" s="3" t="s">
        <v>24</v>
      </c>
      <c r="B19" s="52" t="str">
        <f>IF(Datos!B29&lt;=0,"Faltan ingresos para calcular",IF(Datos!B31&lt;=Datos!B26,"La cuota encaja dentro del objetivo definido",IF(Datos!B31&lt;=Datos!B27,"La cuota requiere revisión y margen de seguridad","La cuota resulta elevada respecto a los ingresos")))</f>
        <v>La cuota encaja dentro del objetivo definido</v>
      </c>
      <c r="C19" s="52"/>
      <c r="D19" s="52"/>
      <c r="E19" s="52"/>
      <c r="F19" s="52"/>
      <c r="G19" s="52"/>
      <c r="H19" s="52"/>
    </row>
    <row r="20" spans="1:8" ht="30" customHeight="1">
      <c r="A20" s="3" t="s">
        <v>25</v>
      </c>
      <c r="B20" s="52" t="str">
        <f>IF(Gastos!B28&lt;0,"Faltan fondos propios según la estimación","Existe cobertura de entrada y gastos según los datos actuales")</f>
        <v>Existe cobertura de entrada y gastos según los datos actuales</v>
      </c>
      <c r="C20" s="52"/>
      <c r="D20" s="52"/>
      <c r="E20" s="52"/>
      <c r="F20" s="52"/>
      <c r="G20" s="52"/>
      <c r="H20" s="52"/>
    </row>
    <row r="21" spans="1:8" ht="30" customHeight="1">
      <c r="A21" s="3" t="s">
        <v>26</v>
      </c>
      <c r="B21" s="52" t="str">
        <f>IF(Datos!B10&gt;Datos!B6,"El préstamo supera la base financiable calculada","El préstamo está dentro de la base menor entre precio y tasación")</f>
        <v>El préstamo está dentro de la base menor entre precio y tasación</v>
      </c>
      <c r="C21" s="52"/>
      <c r="D21" s="52"/>
      <c r="E21" s="52"/>
      <c r="F21" s="52"/>
      <c r="G21" s="52"/>
      <c r="H21" s="52"/>
    </row>
    <row r="22" spans="1:8" ht="30" customHeight="1">
      <c r="A22" s="3" t="s">
        <v>27</v>
      </c>
      <c r="B22" s="52" t="str">
        <f>IF(OR(Datos!B31&gt;Datos!B27,Gastos!B28&lt;0),"Revisar precio, entrada, plazo o importe solicitado","Comparar escenarios, vinculaciones y coste total")</f>
        <v>Comparar escenarios, vinculaciones y coste total</v>
      </c>
      <c r="C22" s="52"/>
      <c r="D22" s="52"/>
      <c r="E22" s="52"/>
      <c r="F22" s="52"/>
      <c r="G22" s="52"/>
      <c r="H22" s="52"/>
    </row>
    <row r="24" spans="1:8">
      <c r="A24" s="50" t="s">
        <v>28</v>
      </c>
      <c r="B24" s="50"/>
      <c r="C24" s="50"/>
      <c r="D24" s="50"/>
      <c r="E24" s="50"/>
      <c r="F24" s="50"/>
      <c r="G24" s="50"/>
      <c r="H24" s="50"/>
    </row>
    <row r="25" spans="1:8" ht="27.75" customHeight="1">
      <c r="A25" s="3" t="s">
        <v>29</v>
      </c>
      <c r="B25" s="51" t="s">
        <v>30</v>
      </c>
      <c r="C25" s="51"/>
      <c r="D25" s="51"/>
      <c r="E25" s="51"/>
      <c r="F25" s="51"/>
      <c r="G25" s="51"/>
      <c r="H25" s="51"/>
    </row>
    <row r="26" spans="1:8" ht="27.75" customHeight="1">
      <c r="A26" s="3" t="s">
        <v>31</v>
      </c>
      <c r="B26" s="51" t="s">
        <v>32</v>
      </c>
      <c r="C26" s="51"/>
      <c r="D26" s="51"/>
      <c r="E26" s="51"/>
      <c r="F26" s="51"/>
      <c r="G26" s="51"/>
      <c r="H26" s="51"/>
    </row>
    <row r="27" spans="1:8" ht="27.75" customHeight="1">
      <c r="A27" s="3" t="s">
        <v>33</v>
      </c>
      <c r="B27" s="51" t="s">
        <v>34</v>
      </c>
      <c r="C27" s="51"/>
      <c r="D27" s="51"/>
      <c r="E27" s="51"/>
      <c r="F27" s="51"/>
      <c r="G27" s="51"/>
      <c r="H27" s="51"/>
    </row>
  </sheetData>
  <mergeCells count="14">
    <mergeCell ref="A1:H1"/>
    <mergeCell ref="A3:H3"/>
    <mergeCell ref="A5:H5"/>
    <mergeCell ref="G6:H10"/>
    <mergeCell ref="A12:H12"/>
    <mergeCell ref="A24:H24"/>
    <mergeCell ref="B25:H25"/>
    <mergeCell ref="B26:H26"/>
    <mergeCell ref="B27:H27"/>
    <mergeCell ref="A18:H18"/>
    <mergeCell ref="B19:H19"/>
    <mergeCell ref="B20:H20"/>
    <mergeCell ref="B21:H21"/>
    <mergeCell ref="B22:H22"/>
  </mergeCells>
  <conditionalFormatting sqref="B19:B22">
    <cfRule type="expression" dxfId="34" priority="2">
      <formula>OR(LEFT(B19,6)="Faltan",ISNUMBER(SEARCH("elevada",B19)),ISNUMBER(SEARCH("supera",B19)),ISNUMBER(SEARCH("Revisar",B19)))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AD47"/>
  </sheetPr>
  <dimension ref="A1:F60"/>
  <sheetViews>
    <sheetView showGridLines="0" zoomScale="90" zoomScaleNormal="90" workbookViewId="0">
      <pane xSplit="2" ySplit="6" topLeftCell="C51" activePane="bottomRight" state="frozen"/>
      <selection pane="bottomRight"/>
      <selection pane="bottomLeft" activeCell="A7" sqref="A7"/>
      <selection pane="topRight" activeCell="C1" sqref="C1"/>
    </sheetView>
  </sheetViews>
  <sheetFormatPr defaultColWidth="8.7109375" defaultRowHeight="15"/>
  <cols>
    <col min="1" max="1" width="6" customWidth="1"/>
    <col min="2" max="2" width="23" customWidth="1"/>
    <col min="3" max="3" width="58" customWidth="1"/>
    <col min="4" max="4" width="34" customWidth="1"/>
    <col min="5" max="5" width="16" customWidth="1"/>
    <col min="6" max="6" width="18" customWidth="1"/>
  </cols>
  <sheetData>
    <row r="1" spans="1:6" ht="30" customHeight="1">
      <c r="A1" s="53" t="s">
        <v>35</v>
      </c>
      <c r="B1" s="53"/>
      <c r="C1" s="53"/>
      <c r="D1" s="53"/>
      <c r="E1" s="53"/>
      <c r="F1" s="53"/>
    </row>
    <row r="3" spans="1:6" ht="15" customHeight="1">
      <c r="A3" s="54" t="s">
        <v>36</v>
      </c>
      <c r="B3" s="54"/>
      <c r="C3" s="54"/>
      <c r="D3" s="54"/>
      <c r="E3" s="54"/>
      <c r="F3" s="54"/>
    </row>
    <row r="5" spans="1:6">
      <c r="A5" s="50" t="s">
        <v>37</v>
      </c>
      <c r="B5" s="50"/>
      <c r="C5" s="50"/>
      <c r="D5" s="50"/>
      <c r="E5" s="50"/>
      <c r="F5" s="50"/>
    </row>
    <row r="6" spans="1:6">
      <c r="A6" s="11" t="s">
        <v>38</v>
      </c>
      <c r="B6" s="11" t="s">
        <v>39</v>
      </c>
      <c r="C6" s="11" t="s">
        <v>40</v>
      </c>
      <c r="D6" s="11" t="s">
        <v>41</v>
      </c>
      <c r="E6" s="11" t="s">
        <v>42</v>
      </c>
      <c r="F6" s="11" t="s">
        <v>43</v>
      </c>
    </row>
    <row r="7" spans="1:6" ht="57.75" customHeight="1">
      <c r="A7" s="12" t="s">
        <v>44</v>
      </c>
      <c r="B7" s="12" t="s">
        <v>45</v>
      </c>
      <c r="C7" s="13" t="s">
        <v>46</v>
      </c>
      <c r="D7" s="13" t="s">
        <v>47</v>
      </c>
      <c r="E7" s="14" t="s">
        <v>48</v>
      </c>
      <c r="F7" s="15">
        <v>2</v>
      </c>
    </row>
    <row r="8" spans="1:6" ht="57.75" customHeight="1">
      <c r="A8" s="12" t="s">
        <v>49</v>
      </c>
      <c r="B8" s="12" t="s">
        <v>50</v>
      </c>
      <c r="C8" s="13" t="s">
        <v>51</v>
      </c>
      <c r="D8" s="13" t="s">
        <v>52</v>
      </c>
      <c r="E8" s="14" t="s">
        <v>48</v>
      </c>
      <c r="F8" s="15">
        <v>4</v>
      </c>
    </row>
    <row r="9" spans="1:6" ht="57.75" customHeight="1">
      <c r="A9" s="12" t="s">
        <v>53</v>
      </c>
      <c r="B9" s="12" t="s">
        <v>31</v>
      </c>
      <c r="C9" s="13" t="s">
        <v>54</v>
      </c>
      <c r="D9" s="13" t="s">
        <v>55</v>
      </c>
      <c r="E9" s="14" t="s">
        <v>48</v>
      </c>
      <c r="F9" s="15">
        <v>4</v>
      </c>
    </row>
    <row r="10" spans="1:6" ht="57.75" customHeight="1">
      <c r="A10" s="12" t="s">
        <v>56</v>
      </c>
      <c r="B10" s="12" t="s">
        <v>57</v>
      </c>
      <c r="C10" s="13" t="s">
        <v>58</v>
      </c>
      <c r="D10" s="13" t="s">
        <v>59</v>
      </c>
      <c r="E10" s="14" t="s">
        <v>48</v>
      </c>
      <c r="F10" s="15">
        <v>4</v>
      </c>
    </row>
    <row r="11" spans="1:6" ht="57.75" customHeight="1">
      <c r="A11" s="12" t="s">
        <v>60</v>
      </c>
      <c r="B11" s="12" t="s">
        <v>61</v>
      </c>
      <c r="C11" s="13" t="s">
        <v>62</v>
      </c>
      <c r="D11" s="13" t="s">
        <v>63</v>
      </c>
      <c r="E11" s="14" t="s">
        <v>48</v>
      </c>
      <c r="F11" s="15">
        <v>6</v>
      </c>
    </row>
    <row r="12" spans="1:6" ht="57.75" customHeight="1">
      <c r="A12" s="12" t="s">
        <v>64</v>
      </c>
      <c r="B12" s="12" t="s">
        <v>65</v>
      </c>
      <c r="C12" s="13" t="s">
        <v>66</v>
      </c>
      <c r="D12" s="13" t="s">
        <v>67</v>
      </c>
      <c r="E12" s="14" t="s">
        <v>48</v>
      </c>
      <c r="F12" s="15">
        <v>4</v>
      </c>
    </row>
    <row r="13" spans="1:6" ht="57.75" customHeight="1">
      <c r="A13" s="12" t="s">
        <v>68</v>
      </c>
      <c r="B13" s="12" t="s">
        <v>69</v>
      </c>
      <c r="C13" s="13" t="s">
        <v>70</v>
      </c>
      <c r="D13" s="13" t="s">
        <v>71</v>
      </c>
      <c r="E13" s="14" t="s">
        <v>48</v>
      </c>
      <c r="F13" s="15">
        <v>5</v>
      </c>
    </row>
    <row r="14" spans="1:6" ht="57.75" customHeight="1">
      <c r="A14" s="12" t="s">
        <v>72</v>
      </c>
      <c r="B14" s="12" t="s">
        <v>73</v>
      </c>
      <c r="C14" s="13" t="s">
        <v>74</v>
      </c>
      <c r="D14" s="13" t="s">
        <v>75</v>
      </c>
      <c r="E14" s="14" t="s">
        <v>48</v>
      </c>
      <c r="F14" s="15">
        <v>4</v>
      </c>
    </row>
    <row r="15" spans="1:6" ht="57.75" customHeight="1">
      <c r="A15" s="12" t="s">
        <v>76</v>
      </c>
      <c r="B15" s="12" t="s">
        <v>77</v>
      </c>
      <c r="C15" s="13" t="s">
        <v>78</v>
      </c>
      <c r="D15" s="13" t="s">
        <v>79</v>
      </c>
      <c r="E15" s="14" t="s">
        <v>48</v>
      </c>
      <c r="F15" s="15">
        <v>4</v>
      </c>
    </row>
    <row r="16" spans="1:6" ht="57.75" customHeight="1">
      <c r="A16" s="12" t="s">
        <v>80</v>
      </c>
      <c r="B16" s="12" t="s">
        <v>81</v>
      </c>
      <c r="C16" s="13" t="s">
        <v>82</v>
      </c>
      <c r="D16" s="13" t="s">
        <v>83</v>
      </c>
      <c r="E16" s="14" t="s">
        <v>48</v>
      </c>
      <c r="F16" s="15">
        <v>10</v>
      </c>
    </row>
    <row r="17" spans="1:6" ht="57.75" customHeight="1">
      <c r="A17" s="12" t="s">
        <v>84</v>
      </c>
      <c r="B17" s="12" t="s">
        <v>85</v>
      </c>
      <c r="C17" s="13" t="s">
        <v>86</v>
      </c>
      <c r="D17" s="13" t="s">
        <v>87</v>
      </c>
      <c r="E17" s="14" t="s">
        <v>48</v>
      </c>
      <c r="F17" s="15">
        <v>4</v>
      </c>
    </row>
    <row r="18" spans="1:6" ht="57.75" customHeight="1">
      <c r="A18" s="12" t="s">
        <v>88</v>
      </c>
      <c r="B18" s="12" t="s">
        <v>89</v>
      </c>
      <c r="C18" s="13" t="s">
        <v>90</v>
      </c>
      <c r="D18" s="13" t="s">
        <v>91</v>
      </c>
      <c r="E18" s="14" t="s">
        <v>48</v>
      </c>
      <c r="F18" s="15">
        <v>4</v>
      </c>
    </row>
    <row r="19" spans="1:6" ht="57.75" customHeight="1">
      <c r="A19" s="12" t="s">
        <v>92</v>
      </c>
      <c r="B19" s="12" t="s">
        <v>93</v>
      </c>
      <c r="C19" s="13" t="s">
        <v>94</v>
      </c>
      <c r="D19" s="13" t="s">
        <v>95</v>
      </c>
      <c r="E19" s="14" t="s">
        <v>48</v>
      </c>
      <c r="F19" s="15">
        <v>5</v>
      </c>
    </row>
    <row r="22" spans="1:6">
      <c r="A22" s="50" t="s">
        <v>96</v>
      </c>
      <c r="B22" s="50"/>
      <c r="C22" s="50"/>
      <c r="D22" s="50"/>
      <c r="E22" s="50"/>
      <c r="F22" s="50"/>
    </row>
    <row r="23" spans="1:6" ht="31.5" customHeight="1">
      <c r="B23" s="16" t="s">
        <v>97</v>
      </c>
      <c r="C23" s="51" t="s">
        <v>98</v>
      </c>
      <c r="D23" s="51"/>
      <c r="E23" s="51"/>
      <c r="F23" s="51"/>
    </row>
    <row r="24" spans="1:6" ht="31.5" customHeight="1">
      <c r="B24" s="16" t="s">
        <v>69</v>
      </c>
      <c r="C24" s="51" t="s">
        <v>99</v>
      </c>
      <c r="D24" s="51"/>
      <c r="E24" s="51"/>
      <c r="F24" s="51"/>
    </row>
    <row r="25" spans="1:6" ht="31.5" customHeight="1">
      <c r="B25" s="16" t="s">
        <v>100</v>
      </c>
      <c r="C25" s="51" t="s">
        <v>101</v>
      </c>
      <c r="D25" s="51"/>
      <c r="E25" s="51"/>
      <c r="F25" s="51"/>
    </row>
    <row r="26" spans="1:6" ht="31.5" customHeight="1">
      <c r="B26" s="16" t="s">
        <v>8</v>
      </c>
      <c r="C26" s="51" t="s">
        <v>102</v>
      </c>
      <c r="D26" s="51"/>
      <c r="E26" s="51"/>
      <c r="F26" s="51"/>
    </row>
    <row r="27" spans="1:6" ht="31.5" customHeight="1">
      <c r="B27" s="16" t="s">
        <v>103</v>
      </c>
      <c r="C27" s="51" t="s">
        <v>104</v>
      </c>
      <c r="D27" s="51"/>
      <c r="E27" s="51"/>
      <c r="F27" s="51"/>
    </row>
    <row r="28" spans="1:6" ht="31.5" customHeight="1">
      <c r="B28" s="16" t="s">
        <v>105</v>
      </c>
      <c r="C28" s="51" t="s">
        <v>106</v>
      </c>
      <c r="D28" s="51"/>
      <c r="E28" s="51"/>
      <c r="F28" s="51"/>
    </row>
    <row r="29" spans="1:6" ht="31.5" customHeight="1">
      <c r="B29" s="16" t="s">
        <v>107</v>
      </c>
      <c r="C29" s="51" t="s">
        <v>108</v>
      </c>
      <c r="D29" s="51"/>
      <c r="E29" s="51"/>
      <c r="F29" s="51"/>
    </row>
    <row r="31" spans="1:6">
      <c r="A31" s="50" t="s">
        <v>109</v>
      </c>
      <c r="B31" s="50"/>
      <c r="C31" s="50"/>
      <c r="D31" s="50"/>
      <c r="E31" s="50"/>
      <c r="F31" s="50"/>
    </row>
    <row r="32" spans="1:6" ht="33.75" customHeight="1">
      <c r="B32" s="16" t="s">
        <v>110</v>
      </c>
      <c r="C32" s="57"/>
      <c r="D32" s="57"/>
      <c r="E32" s="57"/>
      <c r="F32" s="57"/>
    </row>
    <row r="33" spans="1:6" ht="33.75" customHeight="1">
      <c r="B33" s="16" t="s">
        <v>111</v>
      </c>
      <c r="C33" s="57"/>
      <c r="D33" s="57"/>
      <c r="E33" s="57"/>
      <c r="F33" s="57"/>
    </row>
    <row r="34" spans="1:6" ht="33.75" customHeight="1">
      <c r="B34" s="16" t="s">
        <v>112</v>
      </c>
      <c r="C34" s="57"/>
      <c r="D34" s="57"/>
      <c r="E34" s="57"/>
      <c r="F34" s="57"/>
    </row>
    <row r="35" spans="1:6" ht="33.75" customHeight="1">
      <c r="B35" s="16" t="s">
        <v>113</v>
      </c>
      <c r="C35" s="57"/>
      <c r="D35" s="57"/>
      <c r="E35" s="57"/>
      <c r="F35" s="57"/>
    </row>
    <row r="36" spans="1:6" ht="33.75" customHeight="1">
      <c r="B36" s="16" t="s">
        <v>114</v>
      </c>
      <c r="C36" s="57"/>
      <c r="D36" s="57"/>
      <c r="E36" s="57"/>
      <c r="F36" s="57"/>
    </row>
    <row r="37" spans="1:6" ht="33.75" customHeight="1">
      <c r="B37" s="16" t="s">
        <v>115</v>
      </c>
      <c r="C37" s="57"/>
      <c r="D37" s="57"/>
      <c r="E37" s="57"/>
      <c r="F37" s="57"/>
    </row>
    <row r="39" spans="1:6">
      <c r="A39" s="50" t="s">
        <v>116</v>
      </c>
      <c r="B39" s="50"/>
      <c r="C39" s="50"/>
      <c r="D39" s="50"/>
      <c r="E39" s="50"/>
      <c r="F39" s="50"/>
    </row>
    <row r="40" spans="1:6" ht="17.45">
      <c r="B40" s="17" t="s">
        <v>117</v>
      </c>
      <c r="C40" s="64" t="s">
        <v>118</v>
      </c>
      <c r="D40" s="64"/>
      <c r="E40" s="64"/>
      <c r="F40" s="64"/>
    </row>
    <row r="41" spans="1:6" ht="17.45">
      <c r="B41" s="17" t="s">
        <v>117</v>
      </c>
      <c r="C41" s="64" t="s">
        <v>119</v>
      </c>
      <c r="D41" s="64"/>
      <c r="E41" s="64"/>
      <c r="F41" s="64"/>
    </row>
    <row r="42" spans="1:6" ht="17.45">
      <c r="B42" s="17" t="s">
        <v>117</v>
      </c>
      <c r="C42" s="64" t="s">
        <v>120</v>
      </c>
      <c r="D42" s="64"/>
      <c r="E42" s="64"/>
      <c r="F42" s="64"/>
    </row>
    <row r="43" spans="1:6" ht="17.45">
      <c r="B43" s="17" t="s">
        <v>117</v>
      </c>
      <c r="C43" s="64" t="s">
        <v>121</v>
      </c>
      <c r="D43" s="64"/>
      <c r="E43" s="64"/>
      <c r="F43" s="64"/>
    </row>
    <row r="44" spans="1:6" ht="17.45">
      <c r="B44" s="17" t="s">
        <v>117</v>
      </c>
      <c r="C44" s="64" t="s">
        <v>122</v>
      </c>
      <c r="D44" s="64"/>
      <c r="E44" s="64"/>
      <c r="F44" s="64"/>
    </row>
    <row r="45" spans="1:6" ht="17.45">
      <c r="B45" s="17" t="s">
        <v>117</v>
      </c>
      <c r="C45" s="64" t="s">
        <v>123</v>
      </c>
      <c r="D45" s="64"/>
      <c r="E45" s="64"/>
      <c r="F45" s="64"/>
    </row>
    <row r="46" spans="1:6" ht="17.45">
      <c r="B46" s="17" t="s">
        <v>117</v>
      </c>
      <c r="C46" s="64" t="s">
        <v>124</v>
      </c>
      <c r="D46" s="64"/>
      <c r="E46" s="64"/>
      <c r="F46" s="64"/>
    </row>
    <row r="47" spans="1:6" ht="17.45">
      <c r="B47" s="17" t="s">
        <v>117</v>
      </c>
      <c r="C47" s="64" t="s">
        <v>125</v>
      </c>
      <c r="D47" s="64"/>
      <c r="E47" s="64"/>
      <c r="F47" s="64"/>
    </row>
    <row r="49" spans="1:6">
      <c r="A49" s="50" t="s">
        <v>126</v>
      </c>
      <c r="B49" s="50"/>
      <c r="C49" s="50"/>
      <c r="D49" s="50"/>
      <c r="E49" s="50"/>
      <c r="F49" s="50"/>
    </row>
    <row r="50" spans="1:6" ht="27.75" customHeight="1">
      <c r="B50" s="51" t="s">
        <v>127</v>
      </c>
      <c r="C50" s="51"/>
      <c r="D50" s="51"/>
      <c r="E50" s="51"/>
      <c r="F50" s="51"/>
    </row>
    <row r="51" spans="1:6" ht="27.75" customHeight="1">
      <c r="B51" s="51" t="s">
        <v>128</v>
      </c>
      <c r="C51" s="51"/>
      <c r="D51" s="51"/>
      <c r="E51" s="51"/>
      <c r="F51" s="51"/>
    </row>
    <row r="52" spans="1:6" ht="27.75" customHeight="1">
      <c r="B52" s="51" t="s">
        <v>129</v>
      </c>
      <c r="C52" s="51"/>
      <c r="D52" s="51"/>
      <c r="E52" s="51"/>
      <c r="F52" s="51"/>
    </row>
    <row r="53" spans="1:6" ht="27.75" customHeight="1">
      <c r="B53" s="51" t="s">
        <v>130</v>
      </c>
      <c r="C53" s="51"/>
      <c r="D53" s="51"/>
      <c r="E53" s="51"/>
      <c r="F53" s="51"/>
    </row>
    <row r="54" spans="1:6" ht="27.75" customHeight="1">
      <c r="B54" s="51" t="s">
        <v>131</v>
      </c>
      <c r="C54" s="51"/>
      <c r="D54" s="51"/>
      <c r="E54" s="51"/>
      <c r="F54" s="51"/>
    </row>
    <row r="56" spans="1:6">
      <c r="A56" s="50" t="s">
        <v>132</v>
      </c>
      <c r="B56" s="50"/>
      <c r="C56" s="50"/>
      <c r="D56" s="50"/>
      <c r="E56" s="50"/>
      <c r="F56" s="50"/>
    </row>
    <row r="57" spans="1:6" ht="15" customHeight="1">
      <c r="B57" s="56" t="s">
        <v>133</v>
      </c>
      <c r="C57" s="56"/>
      <c r="D57" s="56"/>
      <c r="E57" s="56"/>
      <c r="F57" s="56"/>
    </row>
    <row r="58" spans="1:6">
      <c r="B58" s="56"/>
      <c r="C58" s="56"/>
      <c r="D58" s="56"/>
      <c r="E58" s="56"/>
      <c r="F58" s="56"/>
    </row>
    <row r="59" spans="1:6">
      <c r="B59" s="56"/>
      <c r="C59" s="56"/>
      <c r="D59" s="56"/>
      <c r="E59" s="56"/>
      <c r="F59" s="56"/>
    </row>
    <row r="60" spans="1:6">
      <c r="B60" s="56"/>
      <c r="C60" s="56"/>
      <c r="D60" s="56"/>
      <c r="E60" s="56"/>
      <c r="F60" s="56"/>
    </row>
  </sheetData>
  <autoFilter ref="A6:F19" xr:uid="{00000000-0009-0000-0000-000001000000}"/>
  <mergeCells count="35">
    <mergeCell ref="A1:F1"/>
    <mergeCell ref="A3:F3"/>
    <mergeCell ref="A5:F5"/>
    <mergeCell ref="A22:F22"/>
    <mergeCell ref="C23:F23"/>
    <mergeCell ref="C24:F24"/>
    <mergeCell ref="C25:F25"/>
    <mergeCell ref="C26:F26"/>
    <mergeCell ref="C27:F27"/>
    <mergeCell ref="C28:F28"/>
    <mergeCell ref="C29:F29"/>
    <mergeCell ref="A31:F31"/>
    <mergeCell ref="C32:F32"/>
    <mergeCell ref="C33:F33"/>
    <mergeCell ref="C34:F34"/>
    <mergeCell ref="C35:F35"/>
    <mergeCell ref="C36:F36"/>
    <mergeCell ref="C37:F37"/>
    <mergeCell ref="A39:F39"/>
    <mergeCell ref="C40:F40"/>
    <mergeCell ref="C41:F41"/>
    <mergeCell ref="C42:F42"/>
    <mergeCell ref="C43:F43"/>
    <mergeCell ref="C44:F44"/>
    <mergeCell ref="C45:F45"/>
    <mergeCell ref="C46:F46"/>
    <mergeCell ref="C47:F47"/>
    <mergeCell ref="A49:F49"/>
    <mergeCell ref="B50:F50"/>
    <mergeCell ref="B51:F51"/>
    <mergeCell ref="B52:F52"/>
    <mergeCell ref="B53:F53"/>
    <mergeCell ref="B54:F54"/>
    <mergeCell ref="A56:F56"/>
    <mergeCell ref="B57:F60"/>
  </mergeCells>
  <dataValidations count="1">
    <dataValidation type="list" sqref="E7:E19" xr:uid="{00000000-0002-0000-0100-000000000000}">
      <formula1>"Pendiente,Comentado,Revisar,Completado"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0"/>
  <sheetViews>
    <sheetView showGridLines="0" zoomScale="90" zoomScaleNormal="90" workbookViewId="0">
      <pane ySplit="3" topLeftCell="A4" activePane="bottomLeft" state="frozen"/>
      <selection pane="bottomLeft"/>
    </sheetView>
  </sheetViews>
  <sheetFormatPr defaultColWidth="8.7109375" defaultRowHeight="15"/>
  <cols>
    <col min="1" max="1" width="34" customWidth="1"/>
    <col min="2" max="2" width="19" customWidth="1"/>
    <col min="3" max="3" width="4" customWidth="1"/>
    <col min="4" max="4" width="34" customWidth="1"/>
    <col min="5" max="5" width="19" customWidth="1"/>
    <col min="6" max="6" width="3" customWidth="1"/>
    <col min="7" max="8" width="14" customWidth="1"/>
  </cols>
  <sheetData>
    <row r="1" spans="1:8" ht="25.5" customHeight="1">
      <c r="A1" s="61" t="s">
        <v>134</v>
      </c>
      <c r="B1" s="61"/>
      <c r="C1" s="61"/>
      <c r="D1" s="61"/>
      <c r="E1" s="61"/>
      <c r="F1" s="61"/>
      <c r="G1" s="61"/>
      <c r="H1" s="61"/>
    </row>
    <row r="3" spans="1:8" ht="15" customHeight="1">
      <c r="A3" s="62" t="s">
        <v>135</v>
      </c>
      <c r="B3" s="62"/>
      <c r="C3" s="62"/>
      <c r="D3" s="62"/>
      <c r="E3" s="62"/>
      <c r="F3" s="62"/>
      <c r="G3" s="62"/>
      <c r="H3" s="62"/>
    </row>
    <row r="5" spans="1:8" ht="15" customHeight="1">
      <c r="A5" s="59" t="s">
        <v>136</v>
      </c>
      <c r="B5" s="59"/>
      <c r="D5" s="59" t="s">
        <v>137</v>
      </c>
      <c r="E5" s="59"/>
    </row>
    <row r="6" spans="1:8" ht="15" customHeight="1">
      <c r="A6" s="1" t="s">
        <v>3</v>
      </c>
      <c r="B6" s="18">
        <f>Datos!B4</f>
        <v>250000</v>
      </c>
      <c r="D6" s="1" t="s">
        <v>11</v>
      </c>
      <c r="E6" s="19">
        <f>Datos!B29</f>
        <v>4300</v>
      </c>
    </row>
    <row r="7" spans="1:8" ht="15" customHeight="1">
      <c r="A7" s="1" t="s">
        <v>138</v>
      </c>
      <c r="B7" s="18">
        <f>Datos!B5</f>
        <v>260000</v>
      </c>
      <c r="D7" s="1" t="s">
        <v>12</v>
      </c>
      <c r="E7" s="19">
        <f>Datos!B30</f>
        <v>0</v>
      </c>
    </row>
    <row r="8" spans="1:8" ht="15" customHeight="1">
      <c r="A8" s="1" t="s">
        <v>139</v>
      </c>
      <c r="B8" s="18">
        <f>Datos!B6</f>
        <v>250000</v>
      </c>
      <c r="D8" s="1" t="s">
        <v>140</v>
      </c>
      <c r="E8" s="20">
        <f>Datos!B31</f>
        <v>0.19609489940904673</v>
      </c>
    </row>
    <row r="9" spans="1:8" ht="15" customHeight="1">
      <c r="A9" s="1" t="s">
        <v>141</v>
      </c>
      <c r="B9" s="21">
        <f>Datos!B10</f>
        <v>200000</v>
      </c>
      <c r="D9" s="1" t="s">
        <v>142</v>
      </c>
      <c r="E9" s="20">
        <f>Datos!B32</f>
        <v>0.19609489940904673</v>
      </c>
    </row>
    <row r="10" spans="1:8" ht="15" customHeight="1">
      <c r="A10" s="1" t="s">
        <v>6</v>
      </c>
      <c r="B10" s="22">
        <f>Datos!B7</f>
        <v>0.8</v>
      </c>
      <c r="D10" s="1" t="s">
        <v>42</v>
      </c>
      <c r="E10" s="23" t="str">
        <f>Datos!B35</f>
        <v>OBJETIVO</v>
      </c>
    </row>
    <row r="11" spans="1:8" ht="15" customHeight="1">
      <c r="A11" s="1" t="s">
        <v>15</v>
      </c>
      <c r="B11" s="24">
        <f>Datos!B20</f>
        <v>843.20806745890093</v>
      </c>
      <c r="D11" s="1" t="s">
        <v>19</v>
      </c>
      <c r="E11" s="22">
        <f>Datos!B33</f>
        <v>0.8</v>
      </c>
    </row>
    <row r="12" spans="1:8" ht="15" customHeight="1">
      <c r="A12" s="1" t="s">
        <v>8</v>
      </c>
      <c r="B12" s="25">
        <f>Datos!B11</f>
        <v>30</v>
      </c>
      <c r="D12" s="1" t="s">
        <v>143</v>
      </c>
      <c r="E12" s="22">
        <f>Datos!B34</f>
        <v>0.76923076923076927</v>
      </c>
    </row>
    <row r="13" spans="1:8" ht="15" customHeight="1">
      <c r="A13" s="1" t="s">
        <v>9</v>
      </c>
      <c r="B13" s="22">
        <f>Datos!B17</f>
        <v>0.03</v>
      </c>
      <c r="D13" s="1" t="s">
        <v>13</v>
      </c>
      <c r="E13" s="19">
        <f>Datos!B28</f>
        <v>80000</v>
      </c>
    </row>
    <row r="14" spans="1:8" ht="15" customHeight="1">
      <c r="A14" s="1" t="s">
        <v>16</v>
      </c>
      <c r="B14" s="24">
        <f>Gastos!B26</f>
        <v>77600</v>
      </c>
      <c r="D14" s="1" t="s">
        <v>144</v>
      </c>
      <c r="E14" s="24">
        <f>Gastos!B28</f>
        <v>2400</v>
      </c>
    </row>
    <row r="17" spans="1:5" ht="15" customHeight="1">
      <c r="A17" s="59" t="s">
        <v>145</v>
      </c>
      <c r="B17" s="59"/>
      <c r="C17" s="59"/>
      <c r="D17" s="59"/>
      <c r="E17" s="59"/>
    </row>
    <row r="18" spans="1:5" ht="15" customHeight="1">
      <c r="A18" s="1" t="s">
        <v>146</v>
      </c>
      <c r="B18" s="60" t="str">
        <f>IF(Datos!B10&gt;Datos!B6,"ALERTA: el préstamo supera la base menor entre PVP y tasación","OK: préstamo dentro de la base")</f>
        <v>OK: préstamo dentro de la base</v>
      </c>
      <c r="C18" s="60"/>
      <c r="D18" s="60"/>
      <c r="E18" s="60"/>
    </row>
    <row r="19" spans="1:5" ht="15" customHeight="1">
      <c r="A19" s="1" t="s">
        <v>147</v>
      </c>
      <c r="B19" s="60" t="str">
        <f>IF(Datos!B29&lt;=0,"ALERTA: faltan ingresos",IF(Datos!B31&gt;Datos!B27,"ALERTA: ratio por encima del máximo de revisión",IF(Datos!B31&gt;Datos!B26,"REVISAR: ratio por encima del objetivo","OK: ratio dentro del objetivo")))</f>
        <v>OK: ratio dentro del objetivo</v>
      </c>
      <c r="C19" s="60"/>
      <c r="D19" s="60"/>
      <c r="E19" s="60"/>
    </row>
    <row r="20" spans="1:5" ht="15" customHeight="1">
      <c r="A20" s="1" t="s">
        <v>148</v>
      </c>
      <c r="B20" s="60" t="str">
        <f>IF(Gastos!B28&lt;0,"ALERTA: déficit de fondos propios","OK: liquidez suficiente según estimación")</f>
        <v>OK: liquidez suficiente según estimación</v>
      </c>
      <c r="C20" s="60"/>
      <c r="D20" s="60"/>
      <c r="E20" s="60"/>
    </row>
    <row r="21" spans="1:5" ht="15" customHeight="1">
      <c r="A21" s="1" t="s">
        <v>149</v>
      </c>
      <c r="B21" s="60" t="str">
        <f>IF(AND(Titulares!B4=2,Titulares!C14=0),"REVISAR: segundo titular sin ingresos computados","OK")</f>
        <v>OK</v>
      </c>
      <c r="C21" s="60"/>
      <c r="D21" s="60"/>
      <c r="E21" s="60"/>
    </row>
    <row r="22" spans="1:5" ht="15" customHeight="1">
      <c r="A22" s="1" t="s">
        <v>8</v>
      </c>
      <c r="B22" s="60" t="str">
        <f>IF(Datos!B11&gt;40,"REVISAR: plazo superior a 40 años","OK")</f>
        <v>OK</v>
      </c>
      <c r="C22" s="60"/>
      <c r="D22" s="60"/>
      <c r="E22" s="60"/>
    </row>
    <row r="25" spans="1:5" ht="15" customHeight="1">
      <c r="A25" s="59" t="s">
        <v>150</v>
      </c>
      <c r="B25" s="59"/>
      <c r="C25" s="59"/>
      <c r="D25" s="59"/>
      <c r="E25" s="59"/>
    </row>
    <row r="26" spans="1:5" ht="15" customHeight="1">
      <c r="A26" s="58" t="s">
        <v>151</v>
      </c>
      <c r="B26" s="58"/>
      <c r="C26" s="58"/>
      <c r="D26" s="58"/>
      <c r="E26" s="58"/>
    </row>
    <row r="27" spans="1:5" ht="15" customHeight="1">
      <c r="A27" s="58" t="s">
        <v>152</v>
      </c>
      <c r="B27" s="58"/>
      <c r="C27" s="58"/>
      <c r="D27" s="58"/>
      <c r="E27" s="58"/>
    </row>
    <row r="28" spans="1:5" ht="15" customHeight="1">
      <c r="A28" s="58" t="s">
        <v>153</v>
      </c>
      <c r="B28" s="58"/>
      <c r="C28" s="58"/>
      <c r="D28" s="58"/>
      <c r="E28" s="58"/>
    </row>
    <row r="29" spans="1:5" ht="15" customHeight="1">
      <c r="A29" s="58" t="s">
        <v>154</v>
      </c>
      <c r="B29" s="58"/>
      <c r="C29" s="58"/>
      <c r="D29" s="58"/>
      <c r="E29" s="58"/>
    </row>
    <row r="30" spans="1:5" ht="15" customHeight="1">
      <c r="A30" s="58" t="s">
        <v>155</v>
      </c>
      <c r="B30" s="58"/>
      <c r="C30" s="58"/>
      <c r="D30" s="58"/>
      <c r="E30" s="58"/>
    </row>
  </sheetData>
  <mergeCells count="16">
    <mergeCell ref="A1:H1"/>
    <mergeCell ref="A3:H3"/>
    <mergeCell ref="A5:B5"/>
    <mergeCell ref="D5:E5"/>
    <mergeCell ref="A17:E17"/>
    <mergeCell ref="B18:E18"/>
    <mergeCell ref="B19:E19"/>
    <mergeCell ref="B20:E20"/>
    <mergeCell ref="B21:E21"/>
    <mergeCell ref="B22:E22"/>
    <mergeCell ref="A30:E30"/>
    <mergeCell ref="A25:E25"/>
    <mergeCell ref="A26:E26"/>
    <mergeCell ref="A27:E27"/>
    <mergeCell ref="A28:E28"/>
    <mergeCell ref="A29:E29"/>
  </mergeCells>
  <conditionalFormatting sqref="B18:B22">
    <cfRule type="expression" dxfId="33" priority="2">
      <formula>LEFT(B18,6)="ALERTA"</formula>
    </cfRule>
  </conditionalFormatting>
  <pageMargins left="0.75" right="0.75" top="1" bottom="1" header="0.511811023622047" footer="0.511811023622047"/>
  <pageSetup fitToHeight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35"/>
  <sheetViews>
    <sheetView showGridLines="0" zoomScale="90" zoomScaleNormal="90" workbookViewId="0">
      <pane ySplit="3" topLeftCell="A4" activePane="bottomLeft" state="frozen"/>
      <selection pane="bottomLeft"/>
    </sheetView>
  </sheetViews>
  <sheetFormatPr defaultColWidth="8.7109375" defaultRowHeight="15"/>
  <cols>
    <col min="1" max="1" width="34" customWidth="1"/>
    <col min="2" max="3" width="18" customWidth="1"/>
    <col min="4" max="4" width="52" customWidth="1"/>
  </cols>
  <sheetData>
    <row r="1" spans="1:4" ht="25.5" customHeight="1">
      <c r="A1" s="61" t="s">
        <v>156</v>
      </c>
      <c r="B1" s="61"/>
      <c r="C1" s="61"/>
      <c r="D1" s="61"/>
    </row>
    <row r="3" spans="1:4" ht="15" customHeight="1">
      <c r="A3" s="59" t="s">
        <v>157</v>
      </c>
      <c r="B3" s="59"/>
      <c r="C3" s="59"/>
      <c r="D3" s="59"/>
    </row>
    <row r="4" spans="1:4" ht="15" customHeight="1">
      <c r="A4" s="1" t="s">
        <v>158</v>
      </c>
      <c r="B4" s="26">
        <v>250000</v>
      </c>
      <c r="D4" s="27" t="s">
        <v>159</v>
      </c>
    </row>
    <row r="5" spans="1:4" ht="15" customHeight="1">
      <c r="A5" s="1" t="s">
        <v>4</v>
      </c>
      <c r="B5" s="26">
        <v>260000</v>
      </c>
    </row>
    <row r="6" spans="1:4" ht="26.25" customHeight="1">
      <c r="A6" s="1" t="s">
        <v>160</v>
      </c>
      <c r="B6" s="28">
        <f>MIN(B4,B5)</f>
        <v>250000</v>
      </c>
      <c r="D6" s="29" t="s">
        <v>161</v>
      </c>
    </row>
    <row r="7" spans="1:4" ht="15" customHeight="1">
      <c r="A7" s="1" t="s">
        <v>162</v>
      </c>
      <c r="B7" s="30">
        <v>0.8</v>
      </c>
    </row>
    <row r="8" spans="1:4" ht="15" customHeight="1">
      <c r="A8" s="1" t="s">
        <v>163</v>
      </c>
      <c r="B8" s="28">
        <f>B6*B7</f>
        <v>200000</v>
      </c>
    </row>
    <row r="9" spans="1:4" ht="26.25" customHeight="1">
      <c r="A9" s="1" t="s">
        <v>164</v>
      </c>
      <c r="B9" s="26">
        <v>0</v>
      </c>
    </row>
    <row r="10" spans="1:4" ht="15" customHeight="1">
      <c r="A10" s="1" t="s">
        <v>165</v>
      </c>
      <c r="B10" s="28">
        <f>IF(B9&gt;0,B9,B8)</f>
        <v>200000</v>
      </c>
    </row>
    <row r="11" spans="1:4" ht="15" customHeight="1">
      <c r="A11" s="1" t="s">
        <v>166</v>
      </c>
      <c r="B11" s="31">
        <v>30</v>
      </c>
    </row>
    <row r="12" spans="1:4" ht="15" customHeight="1">
      <c r="A12" s="1" t="s">
        <v>167</v>
      </c>
      <c r="B12" s="31">
        <v>12</v>
      </c>
    </row>
    <row r="13" spans="1:4" ht="15" customHeight="1">
      <c r="A13" s="1" t="s">
        <v>168</v>
      </c>
      <c r="B13" s="32">
        <f>B11*B12</f>
        <v>360</v>
      </c>
    </row>
    <row r="15" spans="1:4" ht="15" customHeight="1">
      <c r="A15" s="59" t="s">
        <v>169</v>
      </c>
      <c r="B15" s="59"/>
      <c r="C15" s="59"/>
      <c r="D15" s="59"/>
    </row>
    <row r="16" spans="1:4" ht="15" customHeight="1">
      <c r="A16" s="1" t="s">
        <v>170</v>
      </c>
      <c r="B16" s="33" t="s">
        <v>171</v>
      </c>
    </row>
    <row r="17" spans="1:4" ht="15" customHeight="1">
      <c r="A17" s="1" t="s">
        <v>172</v>
      </c>
      <c r="B17" s="30">
        <v>0.03</v>
      </c>
    </row>
    <row r="18" spans="1:4" ht="15" customHeight="1">
      <c r="A18" s="1" t="s">
        <v>173</v>
      </c>
      <c r="B18" s="30">
        <v>3.4000000000000002E-2</v>
      </c>
    </row>
    <row r="19" spans="1:4" ht="15" customHeight="1">
      <c r="A19" s="1" t="s">
        <v>174</v>
      </c>
      <c r="B19" s="34">
        <v>46266</v>
      </c>
    </row>
    <row r="20" spans="1:4" ht="15" customHeight="1">
      <c r="A20" s="1" t="s">
        <v>175</v>
      </c>
      <c r="B20" s="35">
        <f>IF(B17=0,B10/B13,-PMT(B17/B12,B13,B10))</f>
        <v>843.20806745890093</v>
      </c>
    </row>
    <row r="21" spans="1:4" ht="26.25" customHeight="1">
      <c r="A21" s="1" t="s">
        <v>176</v>
      </c>
      <c r="B21" s="36">
        <v>0</v>
      </c>
    </row>
    <row r="22" spans="1:4" ht="15" customHeight="1">
      <c r="A22" s="1" t="s">
        <v>177</v>
      </c>
      <c r="B22" s="35">
        <f>B20+B21</f>
        <v>843.20806745890093</v>
      </c>
    </row>
    <row r="23" spans="1:4" ht="15" customHeight="1">
      <c r="A23" s="1" t="s">
        <v>178</v>
      </c>
      <c r="B23" s="33" t="s">
        <v>179</v>
      </c>
    </row>
    <row r="25" spans="1:4" ht="15" customHeight="1">
      <c r="A25" s="59" t="s">
        <v>180</v>
      </c>
      <c r="B25" s="59"/>
      <c r="C25" s="59"/>
      <c r="D25" s="59"/>
    </row>
    <row r="26" spans="1:4" ht="15" customHeight="1">
      <c r="A26" s="1" t="s">
        <v>181</v>
      </c>
      <c r="B26" s="30">
        <v>0.35</v>
      </c>
    </row>
    <row r="27" spans="1:4" ht="15" customHeight="1">
      <c r="A27" s="1" t="s">
        <v>182</v>
      </c>
      <c r="B27" s="30">
        <v>0.4</v>
      </c>
    </row>
    <row r="28" spans="1:4" ht="15" customHeight="1">
      <c r="A28" s="1" t="s">
        <v>183</v>
      </c>
      <c r="B28" s="26">
        <v>80000</v>
      </c>
    </row>
    <row r="29" spans="1:4" ht="15" customHeight="1">
      <c r="A29" s="1" t="s">
        <v>184</v>
      </c>
      <c r="B29" s="19">
        <f>Titulares!B25</f>
        <v>4300</v>
      </c>
    </row>
    <row r="30" spans="1:4" ht="15" customHeight="1">
      <c r="A30" s="1" t="s">
        <v>185</v>
      </c>
      <c r="B30" s="19">
        <f>Titulares!B35</f>
        <v>0</v>
      </c>
    </row>
    <row r="31" spans="1:4" ht="15" customHeight="1">
      <c r="A31" s="1" t="s">
        <v>17</v>
      </c>
      <c r="B31" s="22">
        <f>IFERROR((B20+B30)/B29,0)</f>
        <v>0.19609489940904673</v>
      </c>
    </row>
    <row r="32" spans="1:4" ht="15" customHeight="1">
      <c r="A32" s="1" t="s">
        <v>186</v>
      </c>
      <c r="B32" s="22">
        <f>IFERROR((B22+B30)/B29,0)</f>
        <v>0.19609489940904673</v>
      </c>
    </row>
    <row r="33" spans="1:2" ht="15" customHeight="1">
      <c r="A33" s="1" t="s">
        <v>19</v>
      </c>
      <c r="B33" s="22">
        <f>IFERROR(B10/B4,0)</f>
        <v>0.8</v>
      </c>
    </row>
    <row r="34" spans="1:2" ht="15" customHeight="1">
      <c r="A34" s="1" t="s">
        <v>143</v>
      </c>
      <c r="B34" s="22">
        <f>IFERROR(B10/B5,0)</f>
        <v>0.76923076923076927</v>
      </c>
    </row>
    <row r="35" spans="1:2" ht="15" customHeight="1">
      <c r="A35" s="1" t="s">
        <v>187</v>
      </c>
      <c r="B35" s="37" t="str">
        <f>IF(B29&lt;=0,"FALTAN INGRESOS",IF(B31&lt;=B26,"OBJETIVO",IF(B31&lt;=B27,"REVISAR","ALTO")))</f>
        <v>OBJETIVO</v>
      </c>
    </row>
  </sheetData>
  <mergeCells count="4">
    <mergeCell ref="A1:D1"/>
    <mergeCell ref="A3:D3"/>
    <mergeCell ref="A15:D15"/>
    <mergeCell ref="A25:D25"/>
  </mergeCells>
  <conditionalFormatting sqref="B31:B32">
    <cfRule type="cellIs" dxfId="32" priority="2" operator="greaterThan">
      <formula>$B$27</formula>
    </cfRule>
  </conditionalFormatting>
  <conditionalFormatting sqref="B35">
    <cfRule type="expression" dxfId="31" priority="3">
      <formula>B35="ALTO"</formula>
    </cfRule>
  </conditionalFormatting>
  <dataValidations count="2">
    <dataValidation type="list" sqref="B16" xr:uid="{00000000-0002-0000-0300-000000000000}">
      <formula1>"Fijo,Variable,Mixto"</formula1>
      <formula2>0</formula2>
    </dataValidation>
    <dataValidation type="list" sqref="B23" xr:uid="{00000000-0002-0000-0300-000001000000}">
      <formula1>"Francés"</formula1>
      <formula2>0</formula2>
    </dataValidation>
  </dataValidations>
  <pageMargins left="0.75" right="0.75" top="1" bottom="1" header="0.511811023622047" footer="0.511811023622047"/>
  <pageSetup fitToHeight="0" orientation="portrait" horizontalDpi="300" verticalDpi="30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35"/>
  <sheetViews>
    <sheetView showGridLines="0" zoomScale="90" zoomScaleNormal="90" workbookViewId="0">
      <pane ySplit="3" topLeftCell="A4" activePane="bottomLeft" state="frozen"/>
      <selection pane="bottomLeft"/>
    </sheetView>
  </sheetViews>
  <sheetFormatPr defaultColWidth="8.7109375" defaultRowHeight="15"/>
  <cols>
    <col min="1" max="1" width="38" customWidth="1"/>
    <col min="2" max="3" width="18" customWidth="1"/>
    <col min="4" max="4" width="48" customWidth="1"/>
  </cols>
  <sheetData>
    <row r="1" spans="1:4" ht="25.5" customHeight="1">
      <c r="A1" s="61" t="s">
        <v>188</v>
      </c>
      <c r="B1" s="61"/>
      <c r="C1" s="61"/>
      <c r="D1" s="61"/>
    </row>
    <row r="3" spans="1:4" ht="15" customHeight="1">
      <c r="A3" s="59" t="s">
        <v>189</v>
      </c>
      <c r="B3" s="59"/>
      <c r="C3" s="59"/>
      <c r="D3" s="59"/>
    </row>
    <row r="4" spans="1:4" ht="23.25" customHeight="1">
      <c r="A4" s="1" t="s">
        <v>190</v>
      </c>
      <c r="B4" s="31">
        <v>2</v>
      </c>
      <c r="D4" s="2" t="s">
        <v>191</v>
      </c>
    </row>
    <row r="6" spans="1:4" ht="15" customHeight="1">
      <c r="A6" s="59" t="s">
        <v>192</v>
      </c>
      <c r="B6" s="59"/>
      <c r="C6" s="59"/>
      <c r="D6" s="59"/>
    </row>
    <row r="7" spans="1:4" ht="15" customHeight="1">
      <c r="A7" s="38" t="s">
        <v>193</v>
      </c>
      <c r="B7" s="38" t="s">
        <v>194</v>
      </c>
      <c r="C7" s="38" t="s">
        <v>195</v>
      </c>
      <c r="D7" s="38" t="s">
        <v>196</v>
      </c>
    </row>
    <row r="8" spans="1:4" ht="15" customHeight="1">
      <c r="A8" s="1" t="s">
        <v>197</v>
      </c>
      <c r="B8" s="33" t="s">
        <v>194</v>
      </c>
      <c r="C8" s="33" t="s">
        <v>195</v>
      </c>
    </row>
    <row r="9" spans="1:4" ht="15" customHeight="1">
      <c r="A9" s="1" t="s">
        <v>198</v>
      </c>
      <c r="B9" s="33" t="s">
        <v>199</v>
      </c>
      <c r="C9" s="33" t="s">
        <v>199</v>
      </c>
    </row>
    <row r="10" spans="1:4" ht="15" customHeight="1">
      <c r="A10" s="1" t="s">
        <v>200</v>
      </c>
      <c r="B10" s="36">
        <v>2500</v>
      </c>
      <c r="C10" s="36">
        <v>1800</v>
      </c>
    </row>
    <row r="11" spans="1:4" ht="26.25" customHeight="1">
      <c r="A11" s="1" t="s">
        <v>201</v>
      </c>
      <c r="B11" s="36">
        <v>0</v>
      </c>
      <c r="C11" s="36">
        <v>0</v>
      </c>
    </row>
    <row r="12" spans="1:4" ht="15" customHeight="1">
      <c r="A12" s="1" t="s">
        <v>202</v>
      </c>
      <c r="B12" s="26">
        <v>0</v>
      </c>
      <c r="C12" s="26">
        <v>0</v>
      </c>
    </row>
    <row r="13" spans="1:4" ht="15" customHeight="1">
      <c r="A13" s="1" t="s">
        <v>203</v>
      </c>
      <c r="B13" s="31">
        <v>12</v>
      </c>
      <c r="C13" s="31">
        <v>12</v>
      </c>
    </row>
    <row r="14" spans="1:4" ht="15" customHeight="1">
      <c r="A14" s="1" t="s">
        <v>204</v>
      </c>
      <c r="B14" s="35">
        <f>IF(B9="Renta anual",IFERROR(B12/B13,0),B10+B11)</f>
        <v>2500</v>
      </c>
      <c r="C14" s="35">
        <f>IF($B$4=2,IF(C9="Renta anual",IFERROR(C12/C13,0),C10+C11),0)</f>
        <v>1800</v>
      </c>
    </row>
    <row r="16" spans="1:4" ht="15" customHeight="1">
      <c r="A16" s="1" t="s">
        <v>205</v>
      </c>
      <c r="B16" s="39">
        <f>SUM(B14:C14)</f>
        <v>4300</v>
      </c>
    </row>
    <row r="18" spans="1:4" ht="15" customHeight="1">
      <c r="A18" s="59" t="s">
        <v>206</v>
      </c>
      <c r="B18" s="59"/>
      <c r="C18" s="59"/>
      <c r="D18" s="59"/>
    </row>
    <row r="19" spans="1:4" ht="15" customHeight="1">
      <c r="A19" s="1" t="s">
        <v>207</v>
      </c>
      <c r="B19" s="30">
        <v>1</v>
      </c>
    </row>
    <row r="20" spans="1:4" ht="26.25" customHeight="1">
      <c r="A20" s="1" t="s">
        <v>208</v>
      </c>
      <c r="B20" s="36">
        <v>0</v>
      </c>
    </row>
    <row r="21" spans="1:4" ht="15" customHeight="1">
      <c r="A21" s="1" t="s">
        <v>209</v>
      </c>
      <c r="B21" s="35">
        <f>-B20*(1-B19)</f>
        <v>0</v>
      </c>
    </row>
    <row r="25" spans="1:4" ht="15" customHeight="1">
      <c r="A25" s="1" t="s">
        <v>210</v>
      </c>
      <c r="B25" s="40">
        <f>MAX(0,B16+B21)</f>
        <v>4300</v>
      </c>
    </row>
    <row r="27" spans="1:4" ht="15" customHeight="1">
      <c r="A27" s="59" t="s">
        <v>211</v>
      </c>
      <c r="B27" s="59"/>
      <c r="C27" s="59"/>
      <c r="D27" s="59"/>
    </row>
    <row r="28" spans="1:4" ht="15" customHeight="1">
      <c r="A28" s="38" t="s">
        <v>193</v>
      </c>
      <c r="B28" s="38" t="s">
        <v>212</v>
      </c>
      <c r="C28" s="38" t="s">
        <v>213</v>
      </c>
      <c r="D28" s="38" t="s">
        <v>214</v>
      </c>
    </row>
    <row r="29" spans="1:4" ht="15" customHeight="1">
      <c r="A29" s="33" t="s">
        <v>215</v>
      </c>
      <c r="B29" s="36">
        <v>0</v>
      </c>
      <c r="C29" s="26">
        <v>0</v>
      </c>
      <c r="D29" s="33"/>
    </row>
    <row r="30" spans="1:4" ht="15" customHeight="1">
      <c r="A30" s="33" t="s">
        <v>216</v>
      </c>
      <c r="B30" s="36">
        <v>0</v>
      </c>
      <c r="C30" s="26">
        <v>0</v>
      </c>
      <c r="D30" s="33"/>
    </row>
    <row r="31" spans="1:4" ht="15" customHeight="1">
      <c r="A31" s="33" t="s">
        <v>217</v>
      </c>
      <c r="B31" s="36">
        <v>0</v>
      </c>
      <c r="C31" s="26">
        <v>0</v>
      </c>
      <c r="D31" s="33"/>
    </row>
    <row r="32" spans="1:4" ht="15" customHeight="1">
      <c r="A32" s="33" t="s">
        <v>218</v>
      </c>
      <c r="B32" s="36">
        <v>0</v>
      </c>
      <c r="C32" s="26">
        <v>0</v>
      </c>
      <c r="D32" s="33"/>
    </row>
    <row r="33" spans="1:4" ht="15" customHeight="1">
      <c r="A33" s="33" t="s">
        <v>219</v>
      </c>
      <c r="B33" s="36">
        <v>0</v>
      </c>
      <c r="C33" s="26">
        <v>0</v>
      </c>
      <c r="D33" s="33"/>
    </row>
    <row r="35" spans="1:4" ht="15" customHeight="1">
      <c r="A35" s="1" t="s">
        <v>220</v>
      </c>
      <c r="B35" s="39">
        <f>SUM(B29:B33)</f>
        <v>0</v>
      </c>
    </row>
  </sheetData>
  <mergeCells count="5">
    <mergeCell ref="A1:D1"/>
    <mergeCell ref="A3:D3"/>
    <mergeCell ref="A6:D6"/>
    <mergeCell ref="A18:D18"/>
    <mergeCell ref="A27:D27"/>
  </mergeCells>
  <dataValidations count="2">
    <dataValidation type="list" sqref="B4" xr:uid="{00000000-0002-0000-0400-000000000000}">
      <formula1>"1,2"</formula1>
      <formula2>0</formula2>
    </dataValidation>
    <dataValidation type="list" sqref="B9:C9" xr:uid="{00000000-0002-0000-0400-000001000000}">
      <formula1>"Mensual,Renta anual"</formula1>
      <formula2>0</formula2>
    </dataValidation>
  </dataValidations>
  <pageMargins left="0.75" right="0.75" top="1" bottom="1" header="0.511811023622047" footer="0.511811023622047"/>
  <pageSetup fitToHeight="0" orientation="portrait" horizontalDpi="300" verticalDpi="30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29"/>
  <sheetViews>
    <sheetView showGridLines="0" zoomScale="90" zoomScaleNormal="90" workbookViewId="0">
      <pane ySplit="3" topLeftCell="A4" activePane="bottomLeft" state="frozen"/>
      <selection pane="bottomLeft"/>
    </sheetView>
  </sheetViews>
  <sheetFormatPr defaultColWidth="8.7109375" defaultRowHeight="15"/>
  <cols>
    <col min="1" max="1" width="40" customWidth="1"/>
    <col min="2" max="3" width="18" customWidth="1"/>
    <col min="4" max="4" width="48" customWidth="1"/>
  </cols>
  <sheetData>
    <row r="1" spans="1:4" ht="25.5" customHeight="1">
      <c r="A1" s="61" t="s">
        <v>221</v>
      </c>
      <c r="B1" s="61"/>
      <c r="C1" s="61"/>
      <c r="D1" s="61"/>
    </row>
    <row r="3" spans="1:4" ht="15" customHeight="1">
      <c r="A3" s="59" t="s">
        <v>222</v>
      </c>
      <c r="B3" s="59"/>
      <c r="C3" s="59"/>
      <c r="D3" s="59"/>
    </row>
    <row r="4" spans="1:4" ht="15" customHeight="1">
      <c r="A4" s="1" t="s">
        <v>223</v>
      </c>
      <c r="B4" s="18">
        <f>Datos!B4</f>
        <v>250000</v>
      </c>
    </row>
    <row r="5" spans="1:4" ht="26.25" customHeight="1">
      <c r="A5" s="1" t="s">
        <v>224</v>
      </c>
      <c r="B5" s="30">
        <v>0.1</v>
      </c>
    </row>
    <row r="6" spans="1:4" ht="15" customHeight="1">
      <c r="A6" s="1" t="s">
        <v>225</v>
      </c>
      <c r="B6" s="19">
        <f>B4*B5</f>
        <v>25000</v>
      </c>
    </row>
    <row r="7" spans="1:4" ht="15" customHeight="1">
      <c r="A7" s="1" t="s">
        <v>226</v>
      </c>
      <c r="B7" s="36">
        <v>1200</v>
      </c>
    </row>
    <row r="8" spans="1:4" ht="15" customHeight="1">
      <c r="A8" s="1" t="s">
        <v>227</v>
      </c>
      <c r="B8" s="36">
        <v>600</v>
      </c>
    </row>
    <row r="9" spans="1:4" ht="15" customHeight="1">
      <c r="A9" s="1" t="s">
        <v>228</v>
      </c>
      <c r="B9" s="36">
        <v>400</v>
      </c>
    </row>
    <row r="10" spans="1:4" ht="15" customHeight="1">
      <c r="A10" s="1" t="s">
        <v>229</v>
      </c>
      <c r="B10" s="36">
        <v>0</v>
      </c>
    </row>
    <row r="11" spans="1:4" ht="15" customHeight="1">
      <c r="A11" s="1" t="s">
        <v>230</v>
      </c>
      <c r="B11" s="36">
        <v>0</v>
      </c>
    </row>
    <row r="12" spans="1:4" ht="15" customHeight="1">
      <c r="A12" s="1" t="s">
        <v>231</v>
      </c>
      <c r="B12" s="41">
        <f>SUM(B6:B11)</f>
        <v>27200</v>
      </c>
    </row>
    <row r="14" spans="1:4" ht="15" customHeight="1">
      <c r="A14" s="59" t="s">
        <v>232</v>
      </c>
      <c r="B14" s="59"/>
      <c r="C14" s="59"/>
      <c r="D14" s="59"/>
    </row>
    <row r="15" spans="1:4" ht="15" customHeight="1">
      <c r="A15" s="1" t="s">
        <v>138</v>
      </c>
      <c r="B15" s="36">
        <v>400</v>
      </c>
    </row>
    <row r="16" spans="1:4" ht="15" customHeight="1">
      <c r="A16" s="1" t="s">
        <v>233</v>
      </c>
      <c r="B16" s="30">
        <v>0</v>
      </c>
    </row>
    <row r="17" spans="1:4" ht="15" customHeight="1">
      <c r="A17" s="1" t="s">
        <v>234</v>
      </c>
      <c r="B17" s="35">
        <f>Datos!B10*B16</f>
        <v>0</v>
      </c>
    </row>
    <row r="18" spans="1:4" ht="15" customHeight="1">
      <c r="A18" s="1" t="s">
        <v>235</v>
      </c>
      <c r="B18" s="36">
        <v>0</v>
      </c>
    </row>
    <row r="19" spans="1:4" ht="15" customHeight="1">
      <c r="A19" s="1" t="s">
        <v>236</v>
      </c>
      <c r="B19" s="39">
        <f>SUM(B15,B17:B18)</f>
        <v>400</v>
      </c>
    </row>
    <row r="21" spans="1:4" ht="15" customHeight="1">
      <c r="A21" s="59" t="s">
        <v>237</v>
      </c>
      <c r="B21" s="59"/>
      <c r="C21" s="59"/>
      <c r="D21" s="59"/>
    </row>
    <row r="22" spans="1:4" ht="15" customHeight="1">
      <c r="A22" s="1" t="s">
        <v>3</v>
      </c>
      <c r="B22" s="18">
        <f>Datos!B4</f>
        <v>250000</v>
      </c>
    </row>
    <row r="23" spans="1:4" ht="15" customHeight="1">
      <c r="A23" s="1" t="s">
        <v>238</v>
      </c>
      <c r="B23" s="18">
        <f>Datos!B10</f>
        <v>200000</v>
      </c>
    </row>
    <row r="24" spans="1:4" ht="15" customHeight="1">
      <c r="A24" s="1" t="s">
        <v>239</v>
      </c>
      <c r="B24" s="19">
        <f>MAX(0,B22-B23)</f>
        <v>50000</v>
      </c>
    </row>
    <row r="25" spans="1:4" ht="15" customHeight="1">
      <c r="A25" s="1" t="s">
        <v>240</v>
      </c>
      <c r="B25" s="19">
        <f>B12+B19</f>
        <v>27600</v>
      </c>
    </row>
    <row r="26" spans="1:4" ht="15" customHeight="1">
      <c r="A26" s="1" t="s">
        <v>16</v>
      </c>
      <c r="B26" s="40">
        <f>B24+B25</f>
        <v>77600</v>
      </c>
    </row>
    <row r="27" spans="1:4" ht="15" customHeight="1">
      <c r="A27" s="1" t="s">
        <v>13</v>
      </c>
      <c r="B27" s="19">
        <f>Datos!B28</f>
        <v>80000</v>
      </c>
    </row>
    <row r="28" spans="1:4" ht="15" customHeight="1">
      <c r="A28" s="1" t="s">
        <v>18</v>
      </c>
      <c r="B28" s="19">
        <f>B27-B26</f>
        <v>2400</v>
      </c>
    </row>
    <row r="29" spans="1:4" ht="15" customHeight="1">
      <c r="A29" s="1" t="s">
        <v>241</v>
      </c>
      <c r="B29" s="22">
        <f>IFERROR(B25/B22,0)</f>
        <v>0.1104</v>
      </c>
    </row>
  </sheetData>
  <mergeCells count="4">
    <mergeCell ref="A1:D1"/>
    <mergeCell ref="A3:D3"/>
    <mergeCell ref="A14:D14"/>
    <mergeCell ref="A21:D21"/>
  </mergeCells>
  <conditionalFormatting sqref="B28">
    <cfRule type="cellIs" dxfId="30" priority="2" operator="lessThan">
      <formula>0</formula>
    </cfRule>
  </conditionalFormatting>
  <pageMargins left="0.75" right="0.75" top="1" bottom="1" header="0.511811023622047" footer="0.511811023622047"/>
  <pageSetup fitToHeight="0" orientation="portrait" horizontalDpi="300" verticalDpi="300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605"/>
  <sheetViews>
    <sheetView showGridLines="0" zoomScale="90" zoomScaleNormal="90" workbookViewId="0">
      <pane xSplit="2" ySplit="5" topLeftCell="C6" activePane="bottomRight" state="frozen"/>
      <selection pane="bottomRight"/>
      <selection pane="bottomLeft" activeCell="A6" sqref="A6"/>
      <selection pane="topRight" activeCell="C1" sqref="C1"/>
    </sheetView>
  </sheetViews>
  <sheetFormatPr defaultColWidth="8.7109375" defaultRowHeight="15"/>
  <cols>
    <col min="1" max="1" width="8" customWidth="1"/>
    <col min="2" max="2" width="13" customWidth="1"/>
    <col min="3" max="3" width="17" customWidth="1"/>
    <col min="4" max="6" width="16" customWidth="1"/>
    <col min="7" max="7" width="18" customWidth="1"/>
    <col min="8" max="10" width="17" customWidth="1"/>
    <col min="12" max="12" width="22" customWidth="1"/>
    <col min="13" max="13" width="18" customWidth="1"/>
  </cols>
  <sheetData>
    <row r="1" spans="1:13" ht="25.5" customHeight="1">
      <c r="A1" s="61" t="s">
        <v>242</v>
      </c>
      <c r="B1" s="61"/>
      <c r="C1" s="61"/>
      <c r="D1" s="61"/>
      <c r="E1" s="61"/>
      <c r="F1" s="61"/>
      <c r="G1" s="61"/>
      <c r="H1" s="61"/>
      <c r="I1" s="61"/>
      <c r="J1" s="61"/>
    </row>
    <row r="3" spans="1:13" ht="15" customHeight="1">
      <c r="A3" s="63" t="s">
        <v>243</v>
      </c>
      <c r="B3" s="63"/>
      <c r="C3" s="63"/>
      <c r="D3" s="63"/>
      <c r="E3" s="63"/>
      <c r="F3" s="63"/>
      <c r="G3" s="63"/>
      <c r="H3" s="63"/>
      <c r="I3" s="63"/>
      <c r="J3" s="63"/>
    </row>
    <row r="5" spans="1:13" ht="26.25" customHeight="1">
      <c r="A5" s="42" t="s">
        <v>244</v>
      </c>
      <c r="B5" s="42" t="s">
        <v>245</v>
      </c>
      <c r="C5" s="42" t="s">
        <v>246</v>
      </c>
      <c r="D5" s="42" t="s">
        <v>247</v>
      </c>
      <c r="E5" s="42" t="s">
        <v>248</v>
      </c>
      <c r="F5" s="42" t="s">
        <v>249</v>
      </c>
      <c r="G5" s="42" t="s">
        <v>250</v>
      </c>
      <c r="H5" s="42" t="s">
        <v>251</v>
      </c>
      <c r="I5" s="42" t="s">
        <v>252</v>
      </c>
      <c r="J5" s="42" t="s">
        <v>253</v>
      </c>
      <c r="L5" s="43" t="s">
        <v>254</v>
      </c>
      <c r="M5" s="35">
        <f>SUM(D6:D605)</f>
        <v>103554.90428520436</v>
      </c>
    </row>
    <row r="6" spans="1:13" ht="15" customHeight="1">
      <c r="A6" s="32">
        <f>IF(1&lt;=Datos!$B$13,1,"")</f>
        <v>1</v>
      </c>
      <c r="B6" s="44">
        <f>IF(A6="","",EDATE(Datos!$B$19,A6-1))</f>
        <v>46266</v>
      </c>
      <c r="C6" s="35">
        <f>IF(A6="","",Datos!$B$10)</f>
        <v>200000</v>
      </c>
      <c r="D6" s="35">
        <f>IF(A6="","",C6*Datos!$B$17/Datos!$B$12)</f>
        <v>500</v>
      </c>
      <c r="E6" s="35">
        <f>IF(A6="","",MIN(Datos!$B$20,C6+D6))</f>
        <v>843.20806745890093</v>
      </c>
      <c r="F6" s="35">
        <f>IF(A6="","",MAX(0,E6-D6))</f>
        <v>343.20806745890093</v>
      </c>
      <c r="G6" s="36">
        <v>0</v>
      </c>
      <c r="H6" s="35">
        <f>IF(A6="","",MIN(C6,F6+G6))</f>
        <v>343.20806745890093</v>
      </c>
      <c r="I6" s="35">
        <f>IF(A6="","",MAX(0,C6-H6))</f>
        <v>199656.79193254109</v>
      </c>
      <c r="J6" s="35">
        <f>IF(A6="","",D6+H6)</f>
        <v>843.20806745890093</v>
      </c>
      <c r="L6" s="43" t="s">
        <v>255</v>
      </c>
      <c r="M6" s="35">
        <f>SUM(J6:J605)</f>
        <v>303554.90428520401</v>
      </c>
    </row>
    <row r="7" spans="1:13" ht="15" customHeight="1">
      <c r="A7" s="32">
        <f>IF(2&lt;=Datos!$B$13,2,"")</f>
        <v>2</v>
      </c>
      <c r="B7" s="44">
        <f>IF(A7="","",EDATE(Datos!$B$19,A7-1))</f>
        <v>46296</v>
      </c>
      <c r="C7" s="35">
        <f>IF(A7="","",I6)</f>
        <v>199656.79193254109</v>
      </c>
      <c r="D7" s="35">
        <f>IF(A7="","",C7*Datos!$B$17/Datos!$B$12)</f>
        <v>499.14197983135273</v>
      </c>
      <c r="E7" s="35">
        <f>IF(A7="","",MIN(Datos!$B$20,C7+D7))</f>
        <v>843.20806745890093</v>
      </c>
      <c r="F7" s="35">
        <f>IF(A7="","",MAX(0,E7-D7))</f>
        <v>344.0660876275482</v>
      </c>
      <c r="G7" s="36">
        <v>0</v>
      </c>
      <c r="H7" s="35">
        <f>IF(A7="","",MIN(C7,F7+G7))</f>
        <v>344.0660876275482</v>
      </c>
      <c r="I7" s="35">
        <f>IF(A7="","",MAX(0,C7-H7))</f>
        <v>199312.72584491354</v>
      </c>
      <c r="J7" s="35">
        <f>IF(A7="","",D7+H7)</f>
        <v>843.20806745890093</v>
      </c>
      <c r="L7" s="43" t="s">
        <v>250</v>
      </c>
      <c r="M7" s="35">
        <f>SUM(G6:G605)</f>
        <v>0</v>
      </c>
    </row>
    <row r="8" spans="1:13" ht="15" customHeight="1">
      <c r="A8" s="32">
        <f>IF(3&lt;=Datos!$B$13,3,"")</f>
        <v>3</v>
      </c>
      <c r="B8" s="44">
        <f>IF(A8="","",EDATE(Datos!$B$19,A8-1))</f>
        <v>46327</v>
      </c>
      <c r="C8" s="35">
        <f>IF(A8="","",I7)</f>
        <v>199312.72584491354</v>
      </c>
      <c r="D8" s="35">
        <f>IF(A8="","",C8*Datos!$B$17/Datos!$B$12)</f>
        <v>498.28181461228382</v>
      </c>
      <c r="E8" s="35">
        <f>IF(A8="","",MIN(Datos!$B$20,C8+D8))</f>
        <v>843.20806745890093</v>
      </c>
      <c r="F8" s="35">
        <f>IF(A8="","",MAX(0,E8-D8))</f>
        <v>344.9262528466171</v>
      </c>
      <c r="G8" s="36">
        <v>0</v>
      </c>
      <c r="H8" s="35">
        <f>IF(A8="","",MIN(C8,F8+G8))</f>
        <v>344.9262528466171</v>
      </c>
      <c r="I8" s="35">
        <f>IF(A8="","",MAX(0,C8-H8))</f>
        <v>198967.79959206693</v>
      </c>
      <c r="J8" s="35">
        <f>IF(A8="","",D8+H8)</f>
        <v>843.20806745890093</v>
      </c>
    </row>
    <row r="9" spans="1:13" ht="15" customHeight="1">
      <c r="A9" s="32">
        <f>IF(4&lt;=Datos!$B$13,4,"")</f>
        <v>4</v>
      </c>
      <c r="B9" s="44">
        <f>IF(A9="","",EDATE(Datos!$B$19,A9-1))</f>
        <v>46357</v>
      </c>
      <c r="C9" s="35">
        <f>IF(A9="","",I8)</f>
        <v>198967.79959206693</v>
      </c>
      <c r="D9" s="35">
        <f>IF(A9="","",C9*Datos!$B$17/Datos!$B$12)</f>
        <v>497.41949898016736</v>
      </c>
      <c r="E9" s="35">
        <f>IF(A9="","",MIN(Datos!$B$20,C9+D9))</f>
        <v>843.20806745890093</v>
      </c>
      <c r="F9" s="35">
        <f>IF(A9="","",MAX(0,E9-D9))</f>
        <v>345.78856847873357</v>
      </c>
      <c r="G9" s="36">
        <v>0</v>
      </c>
      <c r="H9" s="35">
        <f>IF(A9="","",MIN(C9,F9+G9))</f>
        <v>345.78856847873357</v>
      </c>
      <c r="I9" s="35">
        <f>IF(A9="","",MAX(0,C9-H9))</f>
        <v>198622.01102358819</v>
      </c>
      <c r="J9" s="35">
        <f>IF(A9="","",D9+H9)</f>
        <v>843.20806745890093</v>
      </c>
    </row>
    <row r="10" spans="1:13" ht="15" customHeight="1">
      <c r="A10" s="32">
        <f>IF(5&lt;=Datos!$B$13,5,"")</f>
        <v>5</v>
      </c>
      <c r="B10" s="44">
        <f>IF(A10="","",EDATE(Datos!$B$19,A10-1))</f>
        <v>46388</v>
      </c>
      <c r="C10" s="35">
        <f>IF(A10="","",I9)</f>
        <v>198622.01102358819</v>
      </c>
      <c r="D10" s="35">
        <f>IF(A10="","",C10*Datos!$B$17/Datos!$B$12)</f>
        <v>496.55502755897049</v>
      </c>
      <c r="E10" s="35">
        <f>IF(A10="","",MIN(Datos!$B$20,C10+D10))</f>
        <v>843.20806745890093</v>
      </c>
      <c r="F10" s="35">
        <f>IF(A10="","",MAX(0,E10-D10))</f>
        <v>346.65303989993043</v>
      </c>
      <c r="G10" s="36">
        <v>0</v>
      </c>
      <c r="H10" s="35">
        <f>IF(A10="","",MIN(C10,F10+G10))</f>
        <v>346.65303989993043</v>
      </c>
      <c r="I10" s="35">
        <f>IF(A10="","",MAX(0,C10-H10))</f>
        <v>198275.35798368827</v>
      </c>
      <c r="J10" s="35">
        <f>IF(A10="","",D10+H10)</f>
        <v>843.20806745890093</v>
      </c>
    </row>
    <row r="11" spans="1:13" ht="15" customHeight="1">
      <c r="A11" s="32">
        <f>IF(6&lt;=Datos!$B$13,6,"")</f>
        <v>6</v>
      </c>
      <c r="B11" s="44">
        <f>IF(A11="","",EDATE(Datos!$B$19,A11-1))</f>
        <v>46419</v>
      </c>
      <c r="C11" s="35">
        <f>IF(A11="","",I10)</f>
        <v>198275.35798368827</v>
      </c>
      <c r="D11" s="35">
        <f>IF(A11="","",C11*Datos!$B$17/Datos!$B$12)</f>
        <v>495.68839495922066</v>
      </c>
      <c r="E11" s="35">
        <f>IF(A11="","",MIN(Datos!$B$20,C11+D11))</f>
        <v>843.20806745890093</v>
      </c>
      <c r="F11" s="35">
        <f>IF(A11="","",MAX(0,E11-D11))</f>
        <v>347.51967249968027</v>
      </c>
      <c r="G11" s="36">
        <v>0</v>
      </c>
      <c r="H11" s="35">
        <f>IF(A11="","",MIN(C11,F11+G11))</f>
        <v>347.51967249968027</v>
      </c>
      <c r="I11" s="35">
        <f>IF(A11="","",MAX(0,C11-H11))</f>
        <v>197927.83831118859</v>
      </c>
      <c r="J11" s="35">
        <f>IF(A11="","",D11+H11)</f>
        <v>843.20806745890093</v>
      </c>
    </row>
    <row r="12" spans="1:13" ht="15" customHeight="1">
      <c r="A12" s="32">
        <f>IF(7&lt;=Datos!$B$13,7,"")</f>
        <v>7</v>
      </c>
      <c r="B12" s="44">
        <f>IF(A12="","",EDATE(Datos!$B$19,A12-1))</f>
        <v>46447</v>
      </c>
      <c r="C12" s="35">
        <f>IF(A12="","",I11)</f>
        <v>197927.83831118859</v>
      </c>
      <c r="D12" s="35">
        <f>IF(A12="","",C12*Datos!$B$17/Datos!$B$12)</f>
        <v>494.81959577797147</v>
      </c>
      <c r="E12" s="35">
        <f>IF(A12="","",MIN(Datos!$B$20,C12+D12))</f>
        <v>843.20806745890093</v>
      </c>
      <c r="F12" s="35">
        <f>IF(A12="","",MAX(0,E12-D12))</f>
        <v>348.38847168092946</v>
      </c>
      <c r="G12" s="36">
        <v>0</v>
      </c>
      <c r="H12" s="35">
        <f>IF(A12="","",MIN(C12,F12+G12))</f>
        <v>348.38847168092946</v>
      </c>
      <c r="I12" s="35">
        <f>IF(A12="","",MAX(0,C12-H12))</f>
        <v>197579.44983950767</v>
      </c>
      <c r="J12" s="35">
        <f>IF(A12="","",D12+H12)</f>
        <v>843.20806745890093</v>
      </c>
    </row>
    <row r="13" spans="1:13" ht="15" customHeight="1">
      <c r="A13" s="32">
        <f>IF(8&lt;=Datos!$B$13,8,"")</f>
        <v>8</v>
      </c>
      <c r="B13" s="44">
        <f>IF(A13="","",EDATE(Datos!$B$19,A13-1))</f>
        <v>46478</v>
      </c>
      <c r="C13" s="35">
        <f>IF(A13="","",I12)</f>
        <v>197579.44983950767</v>
      </c>
      <c r="D13" s="35">
        <f>IF(A13="","",C13*Datos!$B$17/Datos!$B$12)</f>
        <v>493.94862459876913</v>
      </c>
      <c r="E13" s="35">
        <f>IF(A13="","",MIN(Datos!$B$20,C13+D13))</f>
        <v>843.20806745890093</v>
      </c>
      <c r="F13" s="35">
        <f>IF(A13="","",MAX(0,E13-D13))</f>
        <v>349.2594428601318</v>
      </c>
      <c r="G13" s="36">
        <v>0</v>
      </c>
      <c r="H13" s="35">
        <f>IF(A13="","",MIN(C13,F13+G13))</f>
        <v>349.2594428601318</v>
      </c>
      <c r="I13" s="35">
        <f>IF(A13="","",MAX(0,C13-H13))</f>
        <v>197230.19039664752</v>
      </c>
      <c r="J13" s="35">
        <f>IF(A13="","",D13+H13)</f>
        <v>843.20806745890093</v>
      </c>
    </row>
    <row r="14" spans="1:13" ht="15" customHeight="1">
      <c r="A14" s="32">
        <f>IF(9&lt;=Datos!$B$13,9,"")</f>
        <v>9</v>
      </c>
      <c r="B14" s="44">
        <f>IF(A14="","",EDATE(Datos!$B$19,A14-1))</f>
        <v>46508</v>
      </c>
      <c r="C14" s="35">
        <f>IF(A14="","",I13)</f>
        <v>197230.19039664752</v>
      </c>
      <c r="D14" s="35">
        <f>IF(A14="","",C14*Datos!$B$17/Datos!$B$12)</f>
        <v>493.07547599161876</v>
      </c>
      <c r="E14" s="35">
        <f>IF(A14="","",MIN(Datos!$B$20,C14+D14))</f>
        <v>843.20806745890093</v>
      </c>
      <c r="F14" s="35">
        <f>IF(A14="","",MAX(0,E14-D14))</f>
        <v>350.13259146728217</v>
      </c>
      <c r="G14" s="36">
        <v>0</v>
      </c>
      <c r="H14" s="35">
        <f>IF(A14="","",MIN(C14,F14+G14))</f>
        <v>350.13259146728217</v>
      </c>
      <c r="I14" s="35">
        <f>IF(A14="","",MAX(0,C14-H14))</f>
        <v>196880.05780518023</v>
      </c>
      <c r="J14" s="35">
        <f>IF(A14="","",D14+H14)</f>
        <v>843.20806745890093</v>
      </c>
    </row>
    <row r="15" spans="1:13" ht="15" customHeight="1">
      <c r="A15" s="32">
        <f>IF(10&lt;=Datos!$B$13,10,"")</f>
        <v>10</v>
      </c>
      <c r="B15" s="44">
        <f>IF(A15="","",EDATE(Datos!$B$19,A15-1))</f>
        <v>46539</v>
      </c>
      <c r="C15" s="35">
        <f>IF(A15="","",I14)</f>
        <v>196880.05780518023</v>
      </c>
      <c r="D15" s="35">
        <f>IF(A15="","",C15*Datos!$B$17/Datos!$B$12)</f>
        <v>492.20014451295054</v>
      </c>
      <c r="E15" s="35">
        <f>IF(A15="","",MIN(Datos!$B$20,C15+D15))</f>
        <v>843.20806745890093</v>
      </c>
      <c r="F15" s="35">
        <f>IF(A15="","",MAX(0,E15-D15))</f>
        <v>351.00792294595038</v>
      </c>
      <c r="G15" s="36">
        <v>0</v>
      </c>
      <c r="H15" s="35">
        <f>IF(A15="","",MIN(C15,F15+G15))</f>
        <v>351.00792294595038</v>
      </c>
      <c r="I15" s="35">
        <f>IF(A15="","",MAX(0,C15-H15))</f>
        <v>196529.04988223428</v>
      </c>
      <c r="J15" s="35">
        <f>IF(A15="","",D15+H15)</f>
        <v>843.20806745890093</v>
      </c>
    </row>
    <row r="16" spans="1:13" ht="15" customHeight="1">
      <c r="A16" s="32">
        <f>IF(11&lt;=Datos!$B$13,11,"")</f>
        <v>11</v>
      </c>
      <c r="B16" s="44">
        <f>IF(A16="","",EDATE(Datos!$B$19,A16-1))</f>
        <v>46569</v>
      </c>
      <c r="C16" s="35">
        <f>IF(A16="","",I15)</f>
        <v>196529.04988223428</v>
      </c>
      <c r="D16" s="35">
        <f>IF(A16="","",C16*Datos!$B$17/Datos!$B$12)</f>
        <v>491.32262470558567</v>
      </c>
      <c r="E16" s="35">
        <f>IF(A16="","",MIN(Datos!$B$20,C16+D16))</f>
        <v>843.20806745890093</v>
      </c>
      <c r="F16" s="35">
        <f>IF(A16="","",MAX(0,E16-D16))</f>
        <v>351.88544275331526</v>
      </c>
      <c r="G16" s="36">
        <v>0</v>
      </c>
      <c r="H16" s="35">
        <f>IF(A16="","",MIN(C16,F16+G16))</f>
        <v>351.88544275331526</v>
      </c>
      <c r="I16" s="35">
        <f>IF(A16="","",MAX(0,C16-H16))</f>
        <v>196177.16443948096</v>
      </c>
      <c r="J16" s="35">
        <f>IF(A16="","",D16+H16)</f>
        <v>843.20806745890093</v>
      </c>
    </row>
    <row r="17" spans="1:10" ht="15" customHeight="1">
      <c r="A17" s="32">
        <f>IF(12&lt;=Datos!$B$13,12,"")</f>
        <v>12</v>
      </c>
      <c r="B17" s="44">
        <f>IF(A17="","",EDATE(Datos!$B$19,A17-1))</f>
        <v>46600</v>
      </c>
      <c r="C17" s="35">
        <f>IF(A17="","",I16)</f>
        <v>196177.16443948096</v>
      </c>
      <c r="D17" s="35">
        <f>IF(A17="","",C17*Datos!$B$17/Datos!$B$12)</f>
        <v>490.44291109870238</v>
      </c>
      <c r="E17" s="35">
        <f>IF(A17="","",MIN(Datos!$B$20,C17+D17))</f>
        <v>843.20806745890093</v>
      </c>
      <c r="F17" s="35">
        <f>IF(A17="","",MAX(0,E17-D17))</f>
        <v>352.76515636019855</v>
      </c>
      <c r="G17" s="36">
        <v>0</v>
      </c>
      <c r="H17" s="35">
        <f>IF(A17="","",MIN(C17,F17+G17))</f>
        <v>352.76515636019855</v>
      </c>
      <c r="I17" s="35">
        <f>IF(A17="","",MAX(0,C17-H17))</f>
        <v>195824.39928312076</v>
      </c>
      <c r="J17" s="35">
        <f>IF(A17="","",D17+H17)</f>
        <v>843.20806745890093</v>
      </c>
    </row>
    <row r="18" spans="1:10" ht="15" customHeight="1">
      <c r="A18" s="32">
        <f>IF(13&lt;=Datos!$B$13,13,"")</f>
        <v>13</v>
      </c>
      <c r="B18" s="44">
        <f>IF(A18="","",EDATE(Datos!$B$19,A18-1))</f>
        <v>46631</v>
      </c>
      <c r="C18" s="35">
        <f>IF(A18="","",I17)</f>
        <v>195824.39928312076</v>
      </c>
      <c r="D18" s="35">
        <f>IF(A18="","",C18*Datos!$B$17/Datos!$B$12)</f>
        <v>489.5609982078019</v>
      </c>
      <c r="E18" s="35">
        <f>IF(A18="","",MIN(Datos!$B$20,C18+D18))</f>
        <v>843.20806745890093</v>
      </c>
      <c r="F18" s="35">
        <f>IF(A18="","",MAX(0,E18-D18))</f>
        <v>353.64706925109903</v>
      </c>
      <c r="G18" s="36">
        <v>0</v>
      </c>
      <c r="H18" s="35">
        <f>IF(A18="","",MIN(C18,F18+G18))</f>
        <v>353.64706925109903</v>
      </c>
      <c r="I18" s="35">
        <f>IF(A18="","",MAX(0,C18-H18))</f>
        <v>195470.75221386965</v>
      </c>
      <c r="J18" s="35">
        <f>IF(A18="","",D18+H18)</f>
        <v>843.20806745890093</v>
      </c>
    </row>
    <row r="19" spans="1:10" ht="15" customHeight="1">
      <c r="A19" s="32">
        <f>IF(14&lt;=Datos!$B$13,14,"")</f>
        <v>14</v>
      </c>
      <c r="B19" s="44">
        <f>IF(A19="","",EDATE(Datos!$B$19,A19-1))</f>
        <v>46661</v>
      </c>
      <c r="C19" s="35">
        <f>IF(A19="","",I18)</f>
        <v>195470.75221386965</v>
      </c>
      <c r="D19" s="35">
        <f>IF(A19="","",C19*Datos!$B$17/Datos!$B$12)</f>
        <v>488.67688053467413</v>
      </c>
      <c r="E19" s="35">
        <f>IF(A19="","",MIN(Datos!$B$20,C19+D19))</f>
        <v>843.20806745890093</v>
      </c>
      <c r="F19" s="35">
        <f>IF(A19="","",MAX(0,E19-D19))</f>
        <v>354.5311869242268</v>
      </c>
      <c r="G19" s="36">
        <v>0</v>
      </c>
      <c r="H19" s="35">
        <f>IF(A19="","",MIN(C19,F19+G19))</f>
        <v>354.5311869242268</v>
      </c>
      <c r="I19" s="35">
        <f>IF(A19="","",MAX(0,C19-H19))</f>
        <v>195116.22102694542</v>
      </c>
      <c r="J19" s="35">
        <f>IF(A19="","",D19+H19)</f>
        <v>843.20806745890093</v>
      </c>
    </row>
    <row r="20" spans="1:10" ht="15" customHeight="1">
      <c r="A20" s="32">
        <f>IF(15&lt;=Datos!$B$13,15,"")</f>
        <v>15</v>
      </c>
      <c r="B20" s="44">
        <f>IF(A20="","",EDATE(Datos!$B$19,A20-1))</f>
        <v>46692</v>
      </c>
      <c r="C20" s="35">
        <f>IF(A20="","",I19)</f>
        <v>195116.22102694542</v>
      </c>
      <c r="D20" s="35">
        <f>IF(A20="","",C20*Datos!$B$17/Datos!$B$12)</f>
        <v>487.79055256736359</v>
      </c>
      <c r="E20" s="35">
        <f>IF(A20="","",MIN(Datos!$B$20,C20+D20))</f>
        <v>843.20806745890093</v>
      </c>
      <c r="F20" s="35">
        <f>IF(A20="","",MAX(0,E20-D20))</f>
        <v>355.41751489153734</v>
      </c>
      <c r="G20" s="36">
        <v>0</v>
      </c>
      <c r="H20" s="35">
        <f>IF(A20="","",MIN(C20,F20+G20))</f>
        <v>355.41751489153734</v>
      </c>
      <c r="I20" s="35">
        <f>IF(A20="","",MAX(0,C20-H20))</f>
        <v>194760.80351205388</v>
      </c>
      <c r="J20" s="35">
        <f>IF(A20="","",D20+H20)</f>
        <v>843.20806745890093</v>
      </c>
    </row>
    <row r="21" spans="1:10" ht="15" customHeight="1">
      <c r="A21" s="32">
        <f>IF(16&lt;=Datos!$B$13,16,"")</f>
        <v>16</v>
      </c>
      <c r="B21" s="44">
        <f>IF(A21="","",EDATE(Datos!$B$19,A21-1))</f>
        <v>46722</v>
      </c>
      <c r="C21" s="35">
        <f>IF(A21="","",I20)</f>
        <v>194760.80351205388</v>
      </c>
      <c r="D21" s="35">
        <f>IF(A21="","",C21*Datos!$B$17/Datos!$B$12)</f>
        <v>486.90200878013474</v>
      </c>
      <c r="E21" s="35">
        <f>IF(A21="","",MIN(Datos!$B$20,C21+D21))</f>
        <v>843.20806745890093</v>
      </c>
      <c r="F21" s="35">
        <f>IF(A21="","",MAX(0,E21-D21))</f>
        <v>356.30605867876619</v>
      </c>
      <c r="G21" s="36">
        <v>0</v>
      </c>
      <c r="H21" s="35">
        <f>IF(A21="","",MIN(C21,F21+G21))</f>
        <v>356.30605867876619</v>
      </c>
      <c r="I21" s="35">
        <f>IF(A21="","",MAX(0,C21-H21))</f>
        <v>194404.49745337511</v>
      </c>
      <c r="J21" s="35">
        <f>IF(A21="","",D21+H21)</f>
        <v>843.20806745890093</v>
      </c>
    </row>
    <row r="22" spans="1:10" ht="15" customHeight="1">
      <c r="A22" s="32">
        <f>IF(17&lt;=Datos!$B$13,17,"")</f>
        <v>17</v>
      </c>
      <c r="B22" s="44">
        <f>IF(A22="","",EDATE(Datos!$B$19,A22-1))</f>
        <v>46753</v>
      </c>
      <c r="C22" s="35">
        <f>IF(A22="","",I21)</f>
        <v>194404.49745337511</v>
      </c>
      <c r="D22" s="35">
        <f>IF(A22="","",C22*Datos!$B$17/Datos!$B$12)</f>
        <v>486.01124363343774</v>
      </c>
      <c r="E22" s="35">
        <f>IF(A22="","",MIN(Datos!$B$20,C22+D22))</f>
        <v>843.20806745890093</v>
      </c>
      <c r="F22" s="35">
        <f>IF(A22="","",MAX(0,E22-D22))</f>
        <v>357.19682382546318</v>
      </c>
      <c r="G22" s="36">
        <v>0</v>
      </c>
      <c r="H22" s="35">
        <f>IF(A22="","",MIN(C22,F22+G22))</f>
        <v>357.19682382546318</v>
      </c>
      <c r="I22" s="35">
        <f>IF(A22="","",MAX(0,C22-H22))</f>
        <v>194047.30062954963</v>
      </c>
      <c r="J22" s="35">
        <f>IF(A22="","",D22+H22)</f>
        <v>843.20806745890093</v>
      </c>
    </row>
    <row r="23" spans="1:10" ht="15" customHeight="1">
      <c r="A23" s="32">
        <f>IF(18&lt;=Datos!$B$13,18,"")</f>
        <v>18</v>
      </c>
      <c r="B23" s="44">
        <f>IF(A23="","",EDATE(Datos!$B$19,A23-1))</f>
        <v>46784</v>
      </c>
      <c r="C23" s="35">
        <f>IF(A23="","",I22)</f>
        <v>194047.30062954963</v>
      </c>
      <c r="D23" s="35">
        <f>IF(A23="","",C23*Datos!$B$17/Datos!$B$12)</f>
        <v>485.11825157387403</v>
      </c>
      <c r="E23" s="35">
        <f>IF(A23="","",MIN(Datos!$B$20,C23+D23))</f>
        <v>843.20806745890093</v>
      </c>
      <c r="F23" s="35">
        <f>IF(A23="","",MAX(0,E23-D23))</f>
        <v>358.08981588502689</v>
      </c>
      <c r="G23" s="36">
        <v>0</v>
      </c>
      <c r="H23" s="35">
        <f>IF(A23="","",MIN(C23,F23+G23))</f>
        <v>358.08981588502689</v>
      </c>
      <c r="I23" s="35">
        <f>IF(A23="","",MAX(0,C23-H23))</f>
        <v>193689.2108136646</v>
      </c>
      <c r="J23" s="35">
        <f>IF(A23="","",D23+H23)</f>
        <v>843.20806745890093</v>
      </c>
    </row>
    <row r="24" spans="1:10" ht="15" customHeight="1">
      <c r="A24" s="32">
        <f>IF(19&lt;=Datos!$B$13,19,"")</f>
        <v>19</v>
      </c>
      <c r="B24" s="44">
        <f>IF(A24="","",EDATE(Datos!$B$19,A24-1))</f>
        <v>46813</v>
      </c>
      <c r="C24" s="35">
        <f>IF(A24="","",I23)</f>
        <v>193689.2108136646</v>
      </c>
      <c r="D24" s="35">
        <f>IF(A24="","",C24*Datos!$B$17/Datos!$B$12)</f>
        <v>484.22302703416148</v>
      </c>
      <c r="E24" s="35">
        <f>IF(A24="","",MIN(Datos!$B$20,C24+D24))</f>
        <v>843.20806745890093</v>
      </c>
      <c r="F24" s="35">
        <f>IF(A24="","",MAX(0,E24-D24))</f>
        <v>358.98504042473945</v>
      </c>
      <c r="G24" s="36">
        <v>0</v>
      </c>
      <c r="H24" s="35">
        <f>IF(A24="","",MIN(C24,F24+G24))</f>
        <v>358.98504042473945</v>
      </c>
      <c r="I24" s="35">
        <f>IF(A24="","",MAX(0,C24-H24))</f>
        <v>193330.22577323986</v>
      </c>
      <c r="J24" s="35">
        <f>IF(A24="","",D24+H24)</f>
        <v>843.20806745890093</v>
      </c>
    </row>
    <row r="25" spans="1:10" ht="15" customHeight="1">
      <c r="A25" s="32">
        <f>IF(20&lt;=Datos!$B$13,20,"")</f>
        <v>20</v>
      </c>
      <c r="B25" s="44">
        <f>IF(A25="","",EDATE(Datos!$B$19,A25-1))</f>
        <v>46844</v>
      </c>
      <c r="C25" s="35">
        <f>IF(A25="","",I24)</f>
        <v>193330.22577323986</v>
      </c>
      <c r="D25" s="35">
        <f>IF(A25="","",C25*Datos!$B$17/Datos!$B$12)</f>
        <v>483.3255644330996</v>
      </c>
      <c r="E25" s="35">
        <f>IF(A25="","",MIN(Datos!$B$20,C25+D25))</f>
        <v>843.20806745890093</v>
      </c>
      <c r="F25" s="35">
        <f>IF(A25="","",MAX(0,E25-D25))</f>
        <v>359.88250302580133</v>
      </c>
      <c r="G25" s="36">
        <v>0</v>
      </c>
      <c r="H25" s="35">
        <f>IF(A25="","",MIN(C25,F25+G25))</f>
        <v>359.88250302580133</v>
      </c>
      <c r="I25" s="35">
        <f>IF(A25="","",MAX(0,C25-H25))</f>
        <v>192970.34327021404</v>
      </c>
      <c r="J25" s="35">
        <f>IF(A25="","",D25+H25)</f>
        <v>843.20806745890093</v>
      </c>
    </row>
    <row r="26" spans="1:10" ht="15" customHeight="1">
      <c r="A26" s="32">
        <f>IF(21&lt;=Datos!$B$13,21,"")</f>
        <v>21</v>
      </c>
      <c r="B26" s="44">
        <f>IF(A26="","",EDATE(Datos!$B$19,A26-1))</f>
        <v>46874</v>
      </c>
      <c r="C26" s="35">
        <f>IF(A26="","",I25)</f>
        <v>192970.34327021404</v>
      </c>
      <c r="D26" s="35">
        <f>IF(A26="","",C26*Datos!$B$17/Datos!$B$12)</f>
        <v>482.4258581755351</v>
      </c>
      <c r="E26" s="35">
        <f>IF(A26="","",MIN(Datos!$B$20,C26+D26))</f>
        <v>843.20806745890093</v>
      </c>
      <c r="F26" s="35">
        <f>IF(A26="","",MAX(0,E26-D26))</f>
        <v>360.78220928336583</v>
      </c>
      <c r="G26" s="36">
        <v>0</v>
      </c>
      <c r="H26" s="35">
        <f>IF(A26="","",MIN(C26,F26+G26))</f>
        <v>360.78220928336583</v>
      </c>
      <c r="I26" s="35">
        <f>IF(A26="","",MAX(0,C26-H26))</f>
        <v>192609.56106093069</v>
      </c>
      <c r="J26" s="35">
        <f>IF(A26="","",D26+H26)</f>
        <v>843.20806745890093</v>
      </c>
    </row>
    <row r="27" spans="1:10" ht="15" customHeight="1">
      <c r="A27" s="32">
        <f>IF(22&lt;=Datos!$B$13,22,"")</f>
        <v>22</v>
      </c>
      <c r="B27" s="44">
        <f>IF(A27="","",EDATE(Datos!$B$19,A27-1))</f>
        <v>46905</v>
      </c>
      <c r="C27" s="35">
        <f>IF(A27="","",I26)</f>
        <v>192609.56106093069</v>
      </c>
      <c r="D27" s="35">
        <f>IF(A27="","",C27*Datos!$B$17/Datos!$B$12)</f>
        <v>481.52390265232674</v>
      </c>
      <c r="E27" s="35">
        <f>IF(A27="","",MIN(Datos!$B$20,C27+D27))</f>
        <v>843.20806745890093</v>
      </c>
      <c r="F27" s="35">
        <f>IF(A27="","",MAX(0,E27-D27))</f>
        <v>361.68416480657419</v>
      </c>
      <c r="G27" s="36">
        <v>0</v>
      </c>
      <c r="H27" s="35">
        <f>IF(A27="","",MIN(C27,F27+G27))</f>
        <v>361.68416480657419</v>
      </c>
      <c r="I27" s="35">
        <f>IF(A27="","",MAX(0,C27-H27))</f>
        <v>192247.87689612413</v>
      </c>
      <c r="J27" s="35">
        <f>IF(A27="","",D27+H27)</f>
        <v>843.20806745890093</v>
      </c>
    </row>
    <row r="28" spans="1:10" ht="15" customHeight="1">
      <c r="A28" s="32">
        <f>IF(23&lt;=Datos!$B$13,23,"")</f>
        <v>23</v>
      </c>
      <c r="B28" s="44">
        <f>IF(A28="","",EDATE(Datos!$B$19,A28-1))</f>
        <v>46935</v>
      </c>
      <c r="C28" s="35">
        <f>IF(A28="","",I27)</f>
        <v>192247.87689612413</v>
      </c>
      <c r="D28" s="35">
        <f>IF(A28="","",C28*Datos!$B$17/Datos!$B$12)</f>
        <v>480.61969224031031</v>
      </c>
      <c r="E28" s="35">
        <f>IF(A28="","",MIN(Datos!$B$20,C28+D28))</f>
        <v>843.20806745890093</v>
      </c>
      <c r="F28" s="35">
        <f>IF(A28="","",MAX(0,E28-D28))</f>
        <v>362.58837521859061</v>
      </c>
      <c r="G28" s="36">
        <v>0</v>
      </c>
      <c r="H28" s="35">
        <f>IF(A28="","",MIN(C28,F28+G28))</f>
        <v>362.58837521859061</v>
      </c>
      <c r="I28" s="35">
        <f>IF(A28="","",MAX(0,C28-H28))</f>
        <v>191885.28852090554</v>
      </c>
      <c r="J28" s="35">
        <f>IF(A28="","",D28+H28)</f>
        <v>843.20806745890093</v>
      </c>
    </row>
    <row r="29" spans="1:10" ht="15" customHeight="1">
      <c r="A29" s="32">
        <f>IF(24&lt;=Datos!$B$13,24,"")</f>
        <v>24</v>
      </c>
      <c r="B29" s="44">
        <f>IF(A29="","",EDATE(Datos!$B$19,A29-1))</f>
        <v>46966</v>
      </c>
      <c r="C29" s="35">
        <f>IF(A29="","",I28)</f>
        <v>191885.28852090554</v>
      </c>
      <c r="D29" s="35">
        <f>IF(A29="","",C29*Datos!$B$17/Datos!$B$12)</f>
        <v>479.71322130226378</v>
      </c>
      <c r="E29" s="35">
        <f>IF(A29="","",MIN(Datos!$B$20,C29+D29))</f>
        <v>843.20806745890093</v>
      </c>
      <c r="F29" s="35">
        <f>IF(A29="","",MAX(0,E29-D29))</f>
        <v>363.49484615663715</v>
      </c>
      <c r="G29" s="36">
        <v>0</v>
      </c>
      <c r="H29" s="35">
        <f>IF(A29="","",MIN(C29,F29+G29))</f>
        <v>363.49484615663715</v>
      </c>
      <c r="I29" s="35">
        <f>IF(A29="","",MAX(0,C29-H29))</f>
        <v>191521.79367474891</v>
      </c>
      <c r="J29" s="35">
        <f>IF(A29="","",D29+H29)</f>
        <v>843.20806745890093</v>
      </c>
    </row>
    <row r="30" spans="1:10" ht="15" customHeight="1">
      <c r="A30" s="32">
        <f>IF(25&lt;=Datos!$B$13,25,"")</f>
        <v>25</v>
      </c>
      <c r="B30" s="44">
        <f>IF(A30="","",EDATE(Datos!$B$19,A30-1))</f>
        <v>46997</v>
      </c>
      <c r="C30" s="35">
        <f>IF(A30="","",I29)</f>
        <v>191521.79367474891</v>
      </c>
      <c r="D30" s="35">
        <f>IF(A30="","",C30*Datos!$B$17/Datos!$B$12)</f>
        <v>478.80448418687229</v>
      </c>
      <c r="E30" s="35">
        <f>IF(A30="","",MIN(Datos!$B$20,C30+D30))</f>
        <v>843.20806745890093</v>
      </c>
      <c r="F30" s="35">
        <f>IF(A30="","",MAX(0,E30-D30))</f>
        <v>364.40358327202864</v>
      </c>
      <c r="G30" s="36">
        <v>0</v>
      </c>
      <c r="H30" s="35">
        <f>IF(A30="","",MIN(C30,F30+G30))</f>
        <v>364.40358327202864</v>
      </c>
      <c r="I30" s="35">
        <f>IF(A30="","",MAX(0,C30-H30))</f>
        <v>191157.39009147687</v>
      </c>
      <c r="J30" s="35">
        <f>IF(A30="","",D30+H30)</f>
        <v>843.20806745890093</v>
      </c>
    </row>
    <row r="31" spans="1:10" ht="15" customHeight="1">
      <c r="A31" s="32">
        <f>IF(26&lt;=Datos!$B$13,26,"")</f>
        <v>26</v>
      </c>
      <c r="B31" s="44">
        <f>IF(A31="","",EDATE(Datos!$B$19,A31-1))</f>
        <v>47027</v>
      </c>
      <c r="C31" s="35">
        <f>IF(A31="","",I30)</f>
        <v>191157.39009147687</v>
      </c>
      <c r="D31" s="35">
        <f>IF(A31="","",C31*Datos!$B$17/Datos!$B$12)</f>
        <v>477.89347522869213</v>
      </c>
      <c r="E31" s="35">
        <f>IF(A31="","",MIN(Datos!$B$20,C31+D31))</f>
        <v>843.20806745890093</v>
      </c>
      <c r="F31" s="35">
        <f>IF(A31="","",MAX(0,E31-D31))</f>
        <v>365.3145922302088</v>
      </c>
      <c r="G31" s="36">
        <v>0</v>
      </c>
      <c r="H31" s="35">
        <f>IF(A31="","",MIN(C31,F31+G31))</f>
        <v>365.3145922302088</v>
      </c>
      <c r="I31" s="35">
        <f>IF(A31="","",MAX(0,C31-H31))</f>
        <v>190792.07549924665</v>
      </c>
      <c r="J31" s="35">
        <f>IF(A31="","",D31+H31)</f>
        <v>843.20806745890093</v>
      </c>
    </row>
    <row r="32" spans="1:10" ht="15" customHeight="1">
      <c r="A32" s="32">
        <f>IF(27&lt;=Datos!$B$13,27,"")</f>
        <v>27</v>
      </c>
      <c r="B32" s="44">
        <f>IF(A32="","",EDATE(Datos!$B$19,A32-1))</f>
        <v>47058</v>
      </c>
      <c r="C32" s="35">
        <f>IF(A32="","",I31)</f>
        <v>190792.07549924665</v>
      </c>
      <c r="D32" s="35">
        <f>IF(A32="","",C32*Datos!$B$17/Datos!$B$12)</f>
        <v>476.98018874811663</v>
      </c>
      <c r="E32" s="35">
        <f>IF(A32="","",MIN(Datos!$B$20,C32+D32))</f>
        <v>843.20806745890093</v>
      </c>
      <c r="F32" s="35">
        <f>IF(A32="","",MAX(0,E32-D32))</f>
        <v>366.2278787107843</v>
      </c>
      <c r="G32" s="36">
        <v>0</v>
      </c>
      <c r="H32" s="35">
        <f>IF(A32="","",MIN(C32,F32+G32))</f>
        <v>366.2278787107843</v>
      </c>
      <c r="I32" s="35">
        <f>IF(A32="","",MAX(0,C32-H32))</f>
        <v>190425.84762053587</v>
      </c>
      <c r="J32" s="35">
        <f>IF(A32="","",D32+H32)</f>
        <v>843.20806745890093</v>
      </c>
    </row>
    <row r="33" spans="1:10" ht="15" customHeight="1">
      <c r="A33" s="32">
        <f>IF(28&lt;=Datos!$B$13,28,"")</f>
        <v>28</v>
      </c>
      <c r="B33" s="44">
        <f>IF(A33="","",EDATE(Datos!$B$19,A33-1))</f>
        <v>47088</v>
      </c>
      <c r="C33" s="35">
        <f>IF(A33="","",I32)</f>
        <v>190425.84762053587</v>
      </c>
      <c r="D33" s="35">
        <f>IF(A33="","",C33*Datos!$B$17/Datos!$B$12)</f>
        <v>476.06461905133966</v>
      </c>
      <c r="E33" s="35">
        <f>IF(A33="","",MIN(Datos!$B$20,C33+D33))</f>
        <v>843.20806745890093</v>
      </c>
      <c r="F33" s="35">
        <f>IF(A33="","",MAX(0,E33-D33))</f>
        <v>367.14344840756127</v>
      </c>
      <c r="G33" s="36">
        <v>0</v>
      </c>
      <c r="H33" s="35">
        <f>IF(A33="","",MIN(C33,F33+G33))</f>
        <v>367.14344840756127</v>
      </c>
      <c r="I33" s="35">
        <f>IF(A33="","",MAX(0,C33-H33))</f>
        <v>190058.70417212832</v>
      </c>
      <c r="J33" s="35">
        <f>IF(A33="","",D33+H33)</f>
        <v>843.20806745890093</v>
      </c>
    </row>
    <row r="34" spans="1:10" ht="15" customHeight="1">
      <c r="A34" s="32">
        <f>IF(29&lt;=Datos!$B$13,29,"")</f>
        <v>29</v>
      </c>
      <c r="B34" s="44">
        <f>IF(A34="","",EDATE(Datos!$B$19,A34-1))</f>
        <v>47119</v>
      </c>
      <c r="C34" s="35">
        <f>IF(A34="","",I33)</f>
        <v>190058.70417212832</v>
      </c>
      <c r="D34" s="35">
        <f>IF(A34="","",C34*Datos!$B$17/Datos!$B$12)</f>
        <v>475.14676043032074</v>
      </c>
      <c r="E34" s="35">
        <f>IF(A34="","",MIN(Datos!$B$20,C34+D34))</f>
        <v>843.20806745890093</v>
      </c>
      <c r="F34" s="35">
        <f>IF(A34="","",MAX(0,E34-D34))</f>
        <v>368.06130702858019</v>
      </c>
      <c r="G34" s="36">
        <v>0</v>
      </c>
      <c r="H34" s="35">
        <f>IF(A34="","",MIN(C34,F34+G34))</f>
        <v>368.06130702858019</v>
      </c>
      <c r="I34" s="35">
        <f>IF(A34="","",MAX(0,C34-H34))</f>
        <v>189690.64286509974</v>
      </c>
      <c r="J34" s="35">
        <f>IF(A34="","",D34+H34)</f>
        <v>843.20806745890093</v>
      </c>
    </row>
    <row r="35" spans="1:10" ht="15" customHeight="1">
      <c r="A35" s="32">
        <f>IF(30&lt;=Datos!$B$13,30,"")</f>
        <v>30</v>
      </c>
      <c r="B35" s="44">
        <f>IF(A35="","",EDATE(Datos!$B$19,A35-1))</f>
        <v>47150</v>
      </c>
      <c r="C35" s="35">
        <f>IF(A35="","",I34)</f>
        <v>189690.64286509974</v>
      </c>
      <c r="D35" s="35">
        <f>IF(A35="","",C35*Datos!$B$17/Datos!$B$12)</f>
        <v>474.22660716274936</v>
      </c>
      <c r="E35" s="35">
        <f>IF(A35="","",MIN(Datos!$B$20,C35+D35))</f>
        <v>843.20806745890093</v>
      </c>
      <c r="F35" s="35">
        <f>IF(A35="","",MAX(0,E35-D35))</f>
        <v>368.98146029615157</v>
      </c>
      <c r="G35" s="36">
        <v>0</v>
      </c>
      <c r="H35" s="35">
        <f>IF(A35="","",MIN(C35,F35+G35))</f>
        <v>368.98146029615157</v>
      </c>
      <c r="I35" s="35">
        <f>IF(A35="","",MAX(0,C35-H35))</f>
        <v>189321.6614048036</v>
      </c>
      <c r="J35" s="35">
        <f>IF(A35="","",D35+H35)</f>
        <v>843.20806745890093</v>
      </c>
    </row>
    <row r="36" spans="1:10" ht="15" customHeight="1">
      <c r="A36" s="32">
        <f>IF(31&lt;=Datos!$B$13,31,"")</f>
        <v>31</v>
      </c>
      <c r="B36" s="44">
        <f>IF(A36="","",EDATE(Datos!$B$19,A36-1))</f>
        <v>47178</v>
      </c>
      <c r="C36" s="35">
        <f>IF(A36="","",I35)</f>
        <v>189321.6614048036</v>
      </c>
      <c r="D36" s="35">
        <f>IF(A36="","",C36*Datos!$B$17/Datos!$B$12)</f>
        <v>473.30415351200895</v>
      </c>
      <c r="E36" s="35">
        <f>IF(A36="","",MIN(Datos!$B$20,C36+D36))</f>
        <v>843.20806745890093</v>
      </c>
      <c r="F36" s="35">
        <f>IF(A36="","",MAX(0,E36-D36))</f>
        <v>369.90391394689198</v>
      </c>
      <c r="G36" s="36">
        <v>0</v>
      </c>
      <c r="H36" s="35">
        <f>IF(A36="","",MIN(C36,F36+G36))</f>
        <v>369.90391394689198</v>
      </c>
      <c r="I36" s="35">
        <f>IF(A36="","",MAX(0,C36-H36))</f>
        <v>188951.75749085672</v>
      </c>
      <c r="J36" s="35">
        <f>IF(A36="","",D36+H36)</f>
        <v>843.20806745890093</v>
      </c>
    </row>
    <row r="37" spans="1:10" ht="15" customHeight="1">
      <c r="A37" s="32">
        <f>IF(32&lt;=Datos!$B$13,32,"")</f>
        <v>32</v>
      </c>
      <c r="B37" s="44">
        <f>IF(A37="","",EDATE(Datos!$B$19,A37-1))</f>
        <v>47209</v>
      </c>
      <c r="C37" s="35">
        <f>IF(A37="","",I36)</f>
        <v>188951.75749085672</v>
      </c>
      <c r="D37" s="35">
        <f>IF(A37="","",C37*Datos!$B$17/Datos!$B$12)</f>
        <v>472.3793937271418</v>
      </c>
      <c r="E37" s="35">
        <f>IF(A37="","",MIN(Datos!$B$20,C37+D37))</f>
        <v>843.20806745890093</v>
      </c>
      <c r="F37" s="35">
        <f>IF(A37="","",MAX(0,E37-D37))</f>
        <v>370.82867373175912</v>
      </c>
      <c r="G37" s="36">
        <v>0</v>
      </c>
      <c r="H37" s="35">
        <f>IF(A37="","",MIN(C37,F37+G37))</f>
        <v>370.82867373175912</v>
      </c>
      <c r="I37" s="35">
        <f>IF(A37="","",MAX(0,C37-H37))</f>
        <v>188580.92881712495</v>
      </c>
      <c r="J37" s="35">
        <f>IF(A37="","",D37+H37)</f>
        <v>843.20806745890093</v>
      </c>
    </row>
    <row r="38" spans="1:10" ht="15" customHeight="1">
      <c r="A38" s="32">
        <f>IF(33&lt;=Datos!$B$13,33,"")</f>
        <v>33</v>
      </c>
      <c r="B38" s="44">
        <f>IF(A38="","",EDATE(Datos!$B$19,A38-1))</f>
        <v>47239</v>
      </c>
      <c r="C38" s="35">
        <f>IF(A38="","",I37)</f>
        <v>188580.92881712495</v>
      </c>
      <c r="D38" s="35">
        <f>IF(A38="","",C38*Datos!$B$17/Datos!$B$12)</f>
        <v>471.45232204281234</v>
      </c>
      <c r="E38" s="35">
        <f>IF(A38="","",MIN(Datos!$B$20,C38+D38))</f>
        <v>843.20806745890093</v>
      </c>
      <c r="F38" s="35">
        <f>IF(A38="","",MAX(0,E38-D38))</f>
        <v>371.75574541608859</v>
      </c>
      <c r="G38" s="36">
        <v>0</v>
      </c>
      <c r="H38" s="35">
        <f>IF(A38="","",MIN(C38,F38+G38))</f>
        <v>371.75574541608859</v>
      </c>
      <c r="I38" s="35">
        <f>IF(A38="","",MAX(0,C38-H38))</f>
        <v>188209.17307170885</v>
      </c>
      <c r="J38" s="35">
        <f>IF(A38="","",D38+H38)</f>
        <v>843.20806745890093</v>
      </c>
    </row>
    <row r="39" spans="1:10" ht="15" customHeight="1">
      <c r="A39" s="32">
        <f>IF(34&lt;=Datos!$B$13,34,"")</f>
        <v>34</v>
      </c>
      <c r="B39" s="44">
        <f>IF(A39="","",EDATE(Datos!$B$19,A39-1))</f>
        <v>47270</v>
      </c>
      <c r="C39" s="35">
        <f>IF(A39="","",I38)</f>
        <v>188209.17307170885</v>
      </c>
      <c r="D39" s="35">
        <f>IF(A39="","",C39*Datos!$B$17/Datos!$B$12)</f>
        <v>470.52293267927212</v>
      </c>
      <c r="E39" s="35">
        <f>IF(A39="","",MIN(Datos!$B$20,C39+D39))</f>
        <v>843.20806745890093</v>
      </c>
      <c r="F39" s="35">
        <f>IF(A39="","",MAX(0,E39-D39))</f>
        <v>372.68513477962881</v>
      </c>
      <c r="G39" s="36">
        <v>0</v>
      </c>
      <c r="H39" s="35">
        <f>IF(A39="","",MIN(C39,F39+G39))</f>
        <v>372.68513477962881</v>
      </c>
      <c r="I39" s="35">
        <f>IF(A39="","",MAX(0,C39-H39))</f>
        <v>187836.48793692922</v>
      </c>
      <c r="J39" s="35">
        <f>IF(A39="","",D39+H39)</f>
        <v>843.20806745890093</v>
      </c>
    </row>
    <row r="40" spans="1:10" ht="15" customHeight="1">
      <c r="A40" s="32">
        <f>IF(35&lt;=Datos!$B$13,35,"")</f>
        <v>35</v>
      </c>
      <c r="B40" s="44">
        <f>IF(A40="","",EDATE(Datos!$B$19,A40-1))</f>
        <v>47300</v>
      </c>
      <c r="C40" s="35">
        <f>IF(A40="","",I39)</f>
        <v>187836.48793692922</v>
      </c>
      <c r="D40" s="35">
        <f>IF(A40="","",C40*Datos!$B$17/Datos!$B$12)</f>
        <v>469.59121984232303</v>
      </c>
      <c r="E40" s="35">
        <f>IF(A40="","",MIN(Datos!$B$20,C40+D40))</f>
        <v>843.20806745890093</v>
      </c>
      <c r="F40" s="35">
        <f>IF(A40="","",MAX(0,E40-D40))</f>
        <v>373.6168476165779</v>
      </c>
      <c r="G40" s="36">
        <v>0</v>
      </c>
      <c r="H40" s="35">
        <f>IF(A40="","",MIN(C40,F40+G40))</f>
        <v>373.6168476165779</v>
      </c>
      <c r="I40" s="35">
        <f>IF(A40="","",MAX(0,C40-H40))</f>
        <v>187462.87108931263</v>
      </c>
      <c r="J40" s="35">
        <f>IF(A40="","",D40+H40)</f>
        <v>843.20806745890093</v>
      </c>
    </row>
    <row r="41" spans="1:10" ht="15" customHeight="1">
      <c r="A41" s="32">
        <f>IF(36&lt;=Datos!$B$13,36,"")</f>
        <v>36</v>
      </c>
      <c r="B41" s="44">
        <f>IF(A41="","",EDATE(Datos!$B$19,A41-1))</f>
        <v>47331</v>
      </c>
      <c r="C41" s="35">
        <f>IF(A41="","",I40)</f>
        <v>187462.87108931263</v>
      </c>
      <c r="D41" s="35">
        <f>IF(A41="","",C41*Datos!$B$17/Datos!$B$12)</f>
        <v>468.65717772328156</v>
      </c>
      <c r="E41" s="35">
        <f>IF(A41="","",MIN(Datos!$B$20,C41+D41))</f>
        <v>843.20806745890093</v>
      </c>
      <c r="F41" s="35">
        <f>IF(A41="","",MAX(0,E41-D41))</f>
        <v>374.55088973561936</v>
      </c>
      <c r="G41" s="36">
        <v>0</v>
      </c>
      <c r="H41" s="35">
        <f>IF(A41="","",MIN(C41,F41+G41))</f>
        <v>374.55088973561936</v>
      </c>
      <c r="I41" s="35">
        <f>IF(A41="","",MAX(0,C41-H41))</f>
        <v>187088.32019957702</v>
      </c>
      <c r="J41" s="35">
        <f>IF(A41="","",D41+H41)</f>
        <v>843.20806745890093</v>
      </c>
    </row>
    <row r="42" spans="1:10" ht="15" customHeight="1">
      <c r="A42" s="32">
        <f>IF(37&lt;=Datos!$B$13,37,"")</f>
        <v>37</v>
      </c>
      <c r="B42" s="44">
        <f>IF(A42="","",EDATE(Datos!$B$19,A42-1))</f>
        <v>47362</v>
      </c>
      <c r="C42" s="35">
        <f>IF(A42="","",I41)</f>
        <v>187088.32019957702</v>
      </c>
      <c r="D42" s="35">
        <f>IF(A42="","",C42*Datos!$B$17/Datos!$B$12)</f>
        <v>467.72080049894254</v>
      </c>
      <c r="E42" s="35">
        <f>IF(A42="","",MIN(Datos!$B$20,C42+D42))</f>
        <v>843.20806745890093</v>
      </c>
      <c r="F42" s="35">
        <f>IF(A42="","",MAX(0,E42-D42))</f>
        <v>375.48726695995839</v>
      </c>
      <c r="G42" s="36">
        <v>0</v>
      </c>
      <c r="H42" s="35">
        <f>IF(A42="","",MIN(C42,F42+G42))</f>
        <v>375.48726695995839</v>
      </c>
      <c r="I42" s="35">
        <f>IF(A42="","",MAX(0,C42-H42))</f>
        <v>186712.83293261705</v>
      </c>
      <c r="J42" s="35">
        <f>IF(A42="","",D42+H42)</f>
        <v>843.20806745890093</v>
      </c>
    </row>
    <row r="43" spans="1:10" ht="15" customHeight="1">
      <c r="A43" s="32">
        <f>IF(38&lt;=Datos!$B$13,38,"")</f>
        <v>38</v>
      </c>
      <c r="B43" s="44">
        <f>IF(A43="","",EDATE(Datos!$B$19,A43-1))</f>
        <v>47392</v>
      </c>
      <c r="C43" s="35">
        <f>IF(A43="","",I42)</f>
        <v>186712.83293261705</v>
      </c>
      <c r="D43" s="35">
        <f>IF(A43="","",C43*Datos!$B$17/Datos!$B$12)</f>
        <v>466.7820823315426</v>
      </c>
      <c r="E43" s="35">
        <f>IF(A43="","",MIN(Datos!$B$20,C43+D43))</f>
        <v>843.20806745890093</v>
      </c>
      <c r="F43" s="35">
        <f>IF(A43="","",MAX(0,E43-D43))</f>
        <v>376.42598512735833</v>
      </c>
      <c r="G43" s="36">
        <v>0</v>
      </c>
      <c r="H43" s="35">
        <f>IF(A43="","",MIN(C43,F43+G43))</f>
        <v>376.42598512735833</v>
      </c>
      <c r="I43" s="35">
        <f>IF(A43="","",MAX(0,C43-H43))</f>
        <v>186336.40694748968</v>
      </c>
      <c r="J43" s="35">
        <f>IF(A43="","",D43+H43)</f>
        <v>843.20806745890093</v>
      </c>
    </row>
    <row r="44" spans="1:10" ht="15" customHeight="1">
      <c r="A44" s="32">
        <f>IF(39&lt;=Datos!$B$13,39,"")</f>
        <v>39</v>
      </c>
      <c r="B44" s="44">
        <f>IF(A44="","",EDATE(Datos!$B$19,A44-1))</f>
        <v>47423</v>
      </c>
      <c r="C44" s="35">
        <f>IF(A44="","",I43)</f>
        <v>186336.40694748968</v>
      </c>
      <c r="D44" s="35">
        <f>IF(A44="","",C44*Datos!$B$17/Datos!$B$12)</f>
        <v>465.84101736872418</v>
      </c>
      <c r="E44" s="35">
        <f>IF(A44="","",MIN(Datos!$B$20,C44+D44))</f>
        <v>843.20806745890093</v>
      </c>
      <c r="F44" s="35">
        <f>IF(A44="","",MAX(0,E44-D44))</f>
        <v>377.36705009017675</v>
      </c>
      <c r="G44" s="36">
        <v>0</v>
      </c>
      <c r="H44" s="35">
        <f>IF(A44="","",MIN(C44,F44+G44))</f>
        <v>377.36705009017675</v>
      </c>
      <c r="I44" s="35">
        <f>IF(A44="","",MAX(0,C44-H44))</f>
        <v>185959.03989739952</v>
      </c>
      <c r="J44" s="35">
        <f>IF(A44="","",D44+H44)</f>
        <v>843.20806745890093</v>
      </c>
    </row>
    <row r="45" spans="1:10" ht="15" customHeight="1">
      <c r="A45" s="32">
        <f>IF(40&lt;=Datos!$B$13,40,"")</f>
        <v>40</v>
      </c>
      <c r="B45" s="44">
        <f>IF(A45="","",EDATE(Datos!$B$19,A45-1))</f>
        <v>47453</v>
      </c>
      <c r="C45" s="35">
        <f>IF(A45="","",I44)</f>
        <v>185959.03989739952</v>
      </c>
      <c r="D45" s="35">
        <f>IF(A45="","",C45*Datos!$B$17/Datos!$B$12)</f>
        <v>464.8975997434988</v>
      </c>
      <c r="E45" s="35">
        <f>IF(A45="","",MIN(Datos!$B$20,C45+D45))</f>
        <v>843.20806745890093</v>
      </c>
      <c r="F45" s="35">
        <f>IF(A45="","",MAX(0,E45-D45))</f>
        <v>378.31046771540213</v>
      </c>
      <c r="G45" s="36">
        <v>0</v>
      </c>
      <c r="H45" s="35">
        <f>IF(A45="","",MIN(C45,F45+G45))</f>
        <v>378.31046771540213</v>
      </c>
      <c r="I45" s="35">
        <f>IF(A45="","",MAX(0,C45-H45))</f>
        <v>185580.72942968411</v>
      </c>
      <c r="J45" s="35">
        <f>IF(A45="","",D45+H45)</f>
        <v>843.20806745890093</v>
      </c>
    </row>
    <row r="46" spans="1:10" ht="15" customHeight="1">
      <c r="A46" s="32">
        <f>IF(41&lt;=Datos!$B$13,41,"")</f>
        <v>41</v>
      </c>
      <c r="B46" s="44">
        <f>IF(A46="","",EDATE(Datos!$B$19,A46-1))</f>
        <v>47484</v>
      </c>
      <c r="C46" s="35">
        <f>IF(A46="","",I45)</f>
        <v>185580.72942968411</v>
      </c>
      <c r="D46" s="35">
        <f>IF(A46="","",C46*Datos!$B$17/Datos!$B$12)</f>
        <v>463.95182357421027</v>
      </c>
      <c r="E46" s="35">
        <f>IF(A46="","",MIN(Datos!$B$20,C46+D46))</f>
        <v>843.20806745890093</v>
      </c>
      <c r="F46" s="35">
        <f>IF(A46="","",MAX(0,E46-D46))</f>
        <v>379.25624388469066</v>
      </c>
      <c r="G46" s="36">
        <v>0</v>
      </c>
      <c r="H46" s="35">
        <f>IF(A46="","",MIN(C46,F46+G46))</f>
        <v>379.25624388469066</v>
      </c>
      <c r="I46" s="35">
        <f>IF(A46="","",MAX(0,C46-H46))</f>
        <v>185201.47318579943</v>
      </c>
      <c r="J46" s="35">
        <f>IF(A46="","",D46+H46)</f>
        <v>843.20806745890093</v>
      </c>
    </row>
    <row r="47" spans="1:10" ht="15" customHeight="1">
      <c r="A47" s="32">
        <f>IF(42&lt;=Datos!$B$13,42,"")</f>
        <v>42</v>
      </c>
      <c r="B47" s="44">
        <f>IF(A47="","",EDATE(Datos!$B$19,A47-1))</f>
        <v>47515</v>
      </c>
      <c r="C47" s="35">
        <f>IF(A47="","",I46)</f>
        <v>185201.47318579943</v>
      </c>
      <c r="D47" s="35">
        <f>IF(A47="","",C47*Datos!$B$17/Datos!$B$12)</f>
        <v>463.00368296449852</v>
      </c>
      <c r="E47" s="35">
        <f>IF(A47="","",MIN(Datos!$B$20,C47+D47))</f>
        <v>843.20806745890093</v>
      </c>
      <c r="F47" s="35">
        <f>IF(A47="","",MAX(0,E47-D47))</f>
        <v>380.2043844944024</v>
      </c>
      <c r="G47" s="36">
        <v>0</v>
      </c>
      <c r="H47" s="35">
        <f>IF(A47="","",MIN(C47,F47+G47))</f>
        <v>380.2043844944024</v>
      </c>
      <c r="I47" s="35">
        <f>IF(A47="","",MAX(0,C47-H47))</f>
        <v>184821.26880130504</v>
      </c>
      <c r="J47" s="35">
        <f>IF(A47="","",D47+H47)</f>
        <v>843.20806745890093</v>
      </c>
    </row>
    <row r="48" spans="1:10" ht="15" customHeight="1">
      <c r="A48" s="32">
        <f>IF(43&lt;=Datos!$B$13,43,"")</f>
        <v>43</v>
      </c>
      <c r="B48" s="44">
        <f>IF(A48="","",EDATE(Datos!$B$19,A48-1))</f>
        <v>47543</v>
      </c>
      <c r="C48" s="35">
        <f>IF(A48="","",I47)</f>
        <v>184821.26880130504</v>
      </c>
      <c r="D48" s="35">
        <f>IF(A48="","",C48*Datos!$B$17/Datos!$B$12)</f>
        <v>462.05317200326255</v>
      </c>
      <c r="E48" s="35">
        <f>IF(A48="","",MIN(Datos!$B$20,C48+D48))</f>
        <v>843.20806745890093</v>
      </c>
      <c r="F48" s="35">
        <f>IF(A48="","",MAX(0,E48-D48))</f>
        <v>381.15489545563838</v>
      </c>
      <c r="G48" s="36">
        <v>0</v>
      </c>
      <c r="H48" s="35">
        <f>IF(A48="","",MIN(C48,F48+G48))</f>
        <v>381.15489545563838</v>
      </c>
      <c r="I48" s="35">
        <f>IF(A48="","",MAX(0,C48-H48))</f>
        <v>184440.1139058494</v>
      </c>
      <c r="J48" s="35">
        <f>IF(A48="","",D48+H48)</f>
        <v>843.20806745890093</v>
      </c>
    </row>
    <row r="49" spans="1:10" ht="15" customHeight="1">
      <c r="A49" s="32">
        <f>IF(44&lt;=Datos!$B$13,44,"")</f>
        <v>44</v>
      </c>
      <c r="B49" s="44">
        <f>IF(A49="","",EDATE(Datos!$B$19,A49-1))</f>
        <v>47574</v>
      </c>
      <c r="C49" s="35">
        <f>IF(A49="","",I48)</f>
        <v>184440.1139058494</v>
      </c>
      <c r="D49" s="35">
        <f>IF(A49="","",C49*Datos!$B$17/Datos!$B$12)</f>
        <v>461.1002847646235</v>
      </c>
      <c r="E49" s="35">
        <f>IF(A49="","",MIN(Datos!$B$20,C49+D49))</f>
        <v>843.20806745890093</v>
      </c>
      <c r="F49" s="35">
        <f>IF(A49="","",MAX(0,E49-D49))</f>
        <v>382.10778269427743</v>
      </c>
      <c r="G49" s="36">
        <v>0</v>
      </c>
      <c r="H49" s="35">
        <f>IF(A49="","",MIN(C49,F49+G49))</f>
        <v>382.10778269427743</v>
      </c>
      <c r="I49" s="35">
        <f>IF(A49="","",MAX(0,C49-H49))</f>
        <v>184058.00612315512</v>
      </c>
      <c r="J49" s="35">
        <f>IF(A49="","",D49+H49)</f>
        <v>843.20806745890093</v>
      </c>
    </row>
    <row r="50" spans="1:10" ht="15" customHeight="1">
      <c r="A50" s="32">
        <f>IF(45&lt;=Datos!$B$13,45,"")</f>
        <v>45</v>
      </c>
      <c r="B50" s="44">
        <f>IF(A50="","",EDATE(Datos!$B$19,A50-1))</f>
        <v>47604</v>
      </c>
      <c r="C50" s="35">
        <f>IF(A50="","",I49)</f>
        <v>184058.00612315512</v>
      </c>
      <c r="D50" s="35">
        <f>IF(A50="","",C50*Datos!$B$17/Datos!$B$12)</f>
        <v>460.14501530788783</v>
      </c>
      <c r="E50" s="35">
        <f>IF(A50="","",MIN(Datos!$B$20,C50+D50))</f>
        <v>843.20806745890093</v>
      </c>
      <c r="F50" s="35">
        <f>IF(A50="","",MAX(0,E50-D50))</f>
        <v>383.0630521510131</v>
      </c>
      <c r="G50" s="36">
        <v>0</v>
      </c>
      <c r="H50" s="35">
        <f>IF(A50="","",MIN(C50,F50+G50))</f>
        <v>383.0630521510131</v>
      </c>
      <c r="I50" s="35">
        <f>IF(A50="","",MAX(0,C50-H50))</f>
        <v>183674.94307100412</v>
      </c>
      <c r="J50" s="35">
        <f>IF(A50="","",D50+H50)</f>
        <v>843.20806745890093</v>
      </c>
    </row>
    <row r="51" spans="1:10" ht="15" customHeight="1">
      <c r="A51" s="32">
        <f>IF(46&lt;=Datos!$B$13,46,"")</f>
        <v>46</v>
      </c>
      <c r="B51" s="44">
        <f>IF(A51="","",EDATE(Datos!$B$19,A51-1))</f>
        <v>47635</v>
      </c>
      <c r="C51" s="35">
        <f>IF(A51="","",I50)</f>
        <v>183674.94307100412</v>
      </c>
      <c r="D51" s="35">
        <f>IF(A51="","",C51*Datos!$B$17/Datos!$B$12)</f>
        <v>459.18735767751031</v>
      </c>
      <c r="E51" s="35">
        <f>IF(A51="","",MIN(Datos!$B$20,C51+D51))</f>
        <v>843.20806745890093</v>
      </c>
      <c r="F51" s="35">
        <f>IF(A51="","",MAX(0,E51-D51))</f>
        <v>384.02070978139062</v>
      </c>
      <c r="G51" s="36">
        <v>0</v>
      </c>
      <c r="H51" s="35">
        <f>IF(A51="","",MIN(C51,F51+G51))</f>
        <v>384.02070978139062</v>
      </c>
      <c r="I51" s="35">
        <f>IF(A51="","",MAX(0,C51-H51))</f>
        <v>183290.92236122274</v>
      </c>
      <c r="J51" s="35">
        <f>IF(A51="","",D51+H51)</f>
        <v>843.20806745890093</v>
      </c>
    </row>
    <row r="52" spans="1:10" ht="15" customHeight="1">
      <c r="A52" s="32">
        <f>IF(47&lt;=Datos!$B$13,47,"")</f>
        <v>47</v>
      </c>
      <c r="B52" s="44">
        <f>IF(A52="","",EDATE(Datos!$B$19,A52-1))</f>
        <v>47665</v>
      </c>
      <c r="C52" s="35">
        <f>IF(A52="","",I51)</f>
        <v>183290.92236122274</v>
      </c>
      <c r="D52" s="35">
        <f>IF(A52="","",C52*Datos!$B$17/Datos!$B$12)</f>
        <v>458.22730590305679</v>
      </c>
      <c r="E52" s="35">
        <f>IF(A52="","",MIN(Datos!$B$20,C52+D52))</f>
        <v>843.20806745890093</v>
      </c>
      <c r="F52" s="35">
        <f>IF(A52="","",MAX(0,E52-D52))</f>
        <v>384.98076155584414</v>
      </c>
      <c r="G52" s="36">
        <v>0</v>
      </c>
      <c r="H52" s="35">
        <f>IF(A52="","",MIN(C52,F52+G52))</f>
        <v>384.98076155584414</v>
      </c>
      <c r="I52" s="35">
        <f>IF(A52="","",MAX(0,C52-H52))</f>
        <v>182905.9415996669</v>
      </c>
      <c r="J52" s="35">
        <f>IF(A52="","",D52+H52)</f>
        <v>843.20806745890093</v>
      </c>
    </row>
    <row r="53" spans="1:10" ht="15" customHeight="1">
      <c r="A53" s="32">
        <f>IF(48&lt;=Datos!$B$13,48,"")</f>
        <v>48</v>
      </c>
      <c r="B53" s="44">
        <f>IF(A53="","",EDATE(Datos!$B$19,A53-1))</f>
        <v>47696</v>
      </c>
      <c r="C53" s="35">
        <f>IF(A53="","",I52)</f>
        <v>182905.9415996669</v>
      </c>
      <c r="D53" s="35">
        <f>IF(A53="","",C53*Datos!$B$17/Datos!$B$12)</f>
        <v>457.2648539991672</v>
      </c>
      <c r="E53" s="35">
        <f>IF(A53="","",MIN(Datos!$B$20,C53+D53))</f>
        <v>843.20806745890093</v>
      </c>
      <c r="F53" s="35">
        <f>IF(A53="","",MAX(0,E53-D53))</f>
        <v>385.94321345973373</v>
      </c>
      <c r="G53" s="36">
        <v>0</v>
      </c>
      <c r="H53" s="35">
        <f>IF(A53="","",MIN(C53,F53+G53))</f>
        <v>385.94321345973373</v>
      </c>
      <c r="I53" s="35">
        <f>IF(A53="","",MAX(0,C53-H53))</f>
        <v>182519.99838620715</v>
      </c>
      <c r="J53" s="35">
        <f>IF(A53="","",D53+H53)</f>
        <v>843.20806745890093</v>
      </c>
    </row>
    <row r="54" spans="1:10" ht="15" customHeight="1">
      <c r="A54" s="32">
        <f>IF(49&lt;=Datos!$B$13,49,"")</f>
        <v>49</v>
      </c>
      <c r="B54" s="44">
        <f>IF(A54="","",EDATE(Datos!$B$19,A54-1))</f>
        <v>47727</v>
      </c>
      <c r="C54" s="35">
        <f>IF(A54="","",I53)</f>
        <v>182519.99838620715</v>
      </c>
      <c r="D54" s="35">
        <f>IF(A54="","",C54*Datos!$B$17/Datos!$B$12)</f>
        <v>456.29999596551784</v>
      </c>
      <c r="E54" s="35">
        <f>IF(A54="","",MIN(Datos!$B$20,C54+D54))</f>
        <v>843.20806745890093</v>
      </c>
      <c r="F54" s="35">
        <f>IF(A54="","",MAX(0,E54-D54))</f>
        <v>386.90807149338309</v>
      </c>
      <c r="G54" s="36">
        <v>0</v>
      </c>
      <c r="H54" s="35">
        <f>IF(A54="","",MIN(C54,F54+G54))</f>
        <v>386.90807149338309</v>
      </c>
      <c r="I54" s="35">
        <f>IF(A54="","",MAX(0,C54-H54))</f>
        <v>182133.09031471377</v>
      </c>
      <c r="J54" s="35">
        <f>IF(A54="","",D54+H54)</f>
        <v>843.20806745890093</v>
      </c>
    </row>
    <row r="55" spans="1:10" ht="15" customHeight="1">
      <c r="A55" s="32">
        <f>IF(50&lt;=Datos!$B$13,50,"")</f>
        <v>50</v>
      </c>
      <c r="B55" s="44">
        <f>IF(A55="","",EDATE(Datos!$B$19,A55-1))</f>
        <v>47757</v>
      </c>
      <c r="C55" s="35">
        <f>IF(A55="","",I54)</f>
        <v>182133.09031471377</v>
      </c>
      <c r="D55" s="35">
        <f>IF(A55="","",C55*Datos!$B$17/Datos!$B$12)</f>
        <v>455.33272578678447</v>
      </c>
      <c r="E55" s="35">
        <f>IF(A55="","",MIN(Datos!$B$20,C55+D55))</f>
        <v>843.20806745890093</v>
      </c>
      <c r="F55" s="35">
        <f>IF(A55="","",MAX(0,E55-D55))</f>
        <v>387.87534167211646</v>
      </c>
      <c r="G55" s="36">
        <v>0</v>
      </c>
      <c r="H55" s="35">
        <f>IF(A55="","",MIN(C55,F55+G55))</f>
        <v>387.87534167211646</v>
      </c>
      <c r="I55" s="35">
        <f>IF(A55="","",MAX(0,C55-H55))</f>
        <v>181745.21497304164</v>
      </c>
      <c r="J55" s="35">
        <f>IF(A55="","",D55+H55)</f>
        <v>843.20806745890093</v>
      </c>
    </row>
    <row r="56" spans="1:10" ht="15" customHeight="1">
      <c r="A56" s="32">
        <f>IF(51&lt;=Datos!$B$13,51,"")</f>
        <v>51</v>
      </c>
      <c r="B56" s="44">
        <f>IF(A56="","",EDATE(Datos!$B$19,A56-1))</f>
        <v>47788</v>
      </c>
      <c r="C56" s="35">
        <f>IF(A56="","",I55)</f>
        <v>181745.21497304164</v>
      </c>
      <c r="D56" s="35">
        <f>IF(A56="","",C56*Datos!$B$17/Datos!$B$12)</f>
        <v>454.36303743260413</v>
      </c>
      <c r="E56" s="35">
        <f>IF(A56="","",MIN(Datos!$B$20,C56+D56))</f>
        <v>843.20806745890093</v>
      </c>
      <c r="F56" s="35">
        <f>IF(A56="","",MAX(0,E56-D56))</f>
        <v>388.8450300262968</v>
      </c>
      <c r="G56" s="36">
        <v>0</v>
      </c>
      <c r="H56" s="35">
        <f>IF(A56="","",MIN(C56,F56+G56))</f>
        <v>388.8450300262968</v>
      </c>
      <c r="I56" s="35">
        <f>IF(A56="","",MAX(0,C56-H56))</f>
        <v>181356.36994301534</v>
      </c>
      <c r="J56" s="35">
        <f>IF(A56="","",D56+H56)</f>
        <v>843.20806745890093</v>
      </c>
    </row>
    <row r="57" spans="1:10" ht="15" customHeight="1">
      <c r="A57" s="32">
        <f>IF(52&lt;=Datos!$B$13,52,"")</f>
        <v>52</v>
      </c>
      <c r="B57" s="44">
        <f>IF(A57="","",EDATE(Datos!$B$19,A57-1))</f>
        <v>47818</v>
      </c>
      <c r="C57" s="35">
        <f>IF(A57="","",I56)</f>
        <v>181356.36994301534</v>
      </c>
      <c r="D57" s="35">
        <f>IF(A57="","",C57*Datos!$B$17/Datos!$B$12)</f>
        <v>453.39092485753832</v>
      </c>
      <c r="E57" s="35">
        <f>IF(A57="","",MIN(Datos!$B$20,C57+D57))</f>
        <v>843.20806745890093</v>
      </c>
      <c r="F57" s="35">
        <f>IF(A57="","",MAX(0,E57-D57))</f>
        <v>389.8171426013626</v>
      </c>
      <c r="G57" s="36">
        <v>0</v>
      </c>
      <c r="H57" s="35">
        <f>IF(A57="","",MIN(C57,F57+G57))</f>
        <v>389.8171426013626</v>
      </c>
      <c r="I57" s="35">
        <f>IF(A57="","",MAX(0,C57-H57))</f>
        <v>180966.55280041398</v>
      </c>
      <c r="J57" s="35">
        <f>IF(A57="","",D57+H57)</f>
        <v>843.20806745890093</v>
      </c>
    </row>
    <row r="58" spans="1:10" ht="15" customHeight="1">
      <c r="A58" s="32">
        <f>IF(53&lt;=Datos!$B$13,53,"")</f>
        <v>53</v>
      </c>
      <c r="B58" s="44">
        <f>IF(A58="","",EDATE(Datos!$B$19,A58-1))</f>
        <v>47849</v>
      </c>
      <c r="C58" s="35">
        <f>IF(A58="","",I57)</f>
        <v>180966.55280041398</v>
      </c>
      <c r="D58" s="35">
        <f>IF(A58="","",C58*Datos!$B$17/Datos!$B$12)</f>
        <v>452.41638200103489</v>
      </c>
      <c r="E58" s="35">
        <f>IF(A58="","",MIN(Datos!$B$20,C58+D58))</f>
        <v>843.20806745890093</v>
      </c>
      <c r="F58" s="35">
        <f>IF(A58="","",MAX(0,E58-D58))</f>
        <v>390.79168545786604</v>
      </c>
      <c r="G58" s="36">
        <v>0</v>
      </c>
      <c r="H58" s="35">
        <f>IF(A58="","",MIN(C58,F58+G58))</f>
        <v>390.79168545786604</v>
      </c>
      <c r="I58" s="35">
        <f>IF(A58="","",MAX(0,C58-H58))</f>
        <v>180575.76111495611</v>
      </c>
      <c r="J58" s="35">
        <f>IF(A58="","",D58+H58)</f>
        <v>843.20806745890093</v>
      </c>
    </row>
    <row r="59" spans="1:10" ht="15" customHeight="1">
      <c r="A59" s="32">
        <f>IF(54&lt;=Datos!$B$13,54,"")</f>
        <v>54</v>
      </c>
      <c r="B59" s="44">
        <f>IF(A59="","",EDATE(Datos!$B$19,A59-1))</f>
        <v>47880</v>
      </c>
      <c r="C59" s="35">
        <f>IF(A59="","",I58)</f>
        <v>180575.76111495611</v>
      </c>
      <c r="D59" s="35">
        <f>IF(A59="","",C59*Datos!$B$17/Datos!$B$12)</f>
        <v>451.43940278739024</v>
      </c>
      <c r="E59" s="35">
        <f>IF(A59="","",MIN(Datos!$B$20,C59+D59))</f>
        <v>843.20806745890093</v>
      </c>
      <c r="F59" s="35">
        <f>IF(A59="","",MAX(0,E59-D59))</f>
        <v>391.76866467151069</v>
      </c>
      <c r="G59" s="36">
        <v>0</v>
      </c>
      <c r="H59" s="35">
        <f>IF(A59="","",MIN(C59,F59+G59))</f>
        <v>391.76866467151069</v>
      </c>
      <c r="I59" s="35">
        <f>IF(A59="","",MAX(0,C59-H59))</f>
        <v>180183.9924502846</v>
      </c>
      <c r="J59" s="35">
        <f>IF(A59="","",D59+H59)</f>
        <v>843.20806745890093</v>
      </c>
    </row>
    <row r="60" spans="1:10" ht="15" customHeight="1">
      <c r="A60" s="32">
        <f>IF(55&lt;=Datos!$B$13,55,"")</f>
        <v>55</v>
      </c>
      <c r="B60" s="44">
        <f>IF(A60="","",EDATE(Datos!$B$19,A60-1))</f>
        <v>47908</v>
      </c>
      <c r="C60" s="35">
        <f>IF(A60="","",I59)</f>
        <v>180183.9924502846</v>
      </c>
      <c r="D60" s="35">
        <f>IF(A60="","",C60*Datos!$B$17/Datos!$B$12)</f>
        <v>450.45998112571147</v>
      </c>
      <c r="E60" s="35">
        <f>IF(A60="","",MIN(Datos!$B$20,C60+D60))</f>
        <v>843.20806745890093</v>
      </c>
      <c r="F60" s="35">
        <f>IF(A60="","",MAX(0,E60-D60))</f>
        <v>392.74808633318946</v>
      </c>
      <c r="G60" s="36">
        <v>0</v>
      </c>
      <c r="H60" s="35">
        <f>IF(A60="","",MIN(C60,F60+G60))</f>
        <v>392.74808633318946</v>
      </c>
      <c r="I60" s="35">
        <f>IF(A60="","",MAX(0,C60-H60))</f>
        <v>179791.24436395141</v>
      </c>
      <c r="J60" s="35">
        <f>IF(A60="","",D60+H60)</f>
        <v>843.20806745890093</v>
      </c>
    </row>
    <row r="61" spans="1:10" ht="15" customHeight="1">
      <c r="A61" s="32">
        <f>IF(56&lt;=Datos!$B$13,56,"")</f>
        <v>56</v>
      </c>
      <c r="B61" s="44">
        <f>IF(A61="","",EDATE(Datos!$B$19,A61-1))</f>
        <v>47939</v>
      </c>
      <c r="C61" s="35">
        <f>IF(A61="","",I60)</f>
        <v>179791.24436395141</v>
      </c>
      <c r="D61" s="35">
        <f>IF(A61="","",C61*Datos!$B$17/Datos!$B$12)</f>
        <v>449.47811090987852</v>
      </c>
      <c r="E61" s="35">
        <f>IF(A61="","",MIN(Datos!$B$20,C61+D61))</f>
        <v>843.20806745890093</v>
      </c>
      <c r="F61" s="35">
        <f>IF(A61="","",MAX(0,E61-D61))</f>
        <v>393.7299565490224</v>
      </c>
      <c r="G61" s="36">
        <v>0</v>
      </c>
      <c r="H61" s="35">
        <f>IF(A61="","",MIN(C61,F61+G61))</f>
        <v>393.7299565490224</v>
      </c>
      <c r="I61" s="35">
        <f>IF(A61="","",MAX(0,C61-H61))</f>
        <v>179397.5144074024</v>
      </c>
      <c r="J61" s="35">
        <f>IF(A61="","",D61+H61)</f>
        <v>843.20806745890093</v>
      </c>
    </row>
    <row r="62" spans="1:10" ht="15" customHeight="1">
      <c r="A62" s="32">
        <f>IF(57&lt;=Datos!$B$13,57,"")</f>
        <v>57</v>
      </c>
      <c r="B62" s="44">
        <f>IF(A62="","",EDATE(Datos!$B$19,A62-1))</f>
        <v>47969</v>
      </c>
      <c r="C62" s="35">
        <f>IF(A62="","",I61)</f>
        <v>179397.5144074024</v>
      </c>
      <c r="D62" s="35">
        <f>IF(A62="","",C62*Datos!$B$17/Datos!$B$12)</f>
        <v>448.493786018506</v>
      </c>
      <c r="E62" s="35">
        <f>IF(A62="","",MIN(Datos!$B$20,C62+D62))</f>
        <v>843.20806745890093</v>
      </c>
      <c r="F62" s="35">
        <f>IF(A62="","",MAX(0,E62-D62))</f>
        <v>394.71428144039493</v>
      </c>
      <c r="G62" s="36">
        <v>0</v>
      </c>
      <c r="H62" s="35">
        <f>IF(A62="","",MIN(C62,F62+G62))</f>
        <v>394.71428144039493</v>
      </c>
      <c r="I62" s="35">
        <f>IF(A62="","",MAX(0,C62-H62))</f>
        <v>179002.80012596201</v>
      </c>
      <c r="J62" s="35">
        <f>IF(A62="","",D62+H62)</f>
        <v>843.20806745890093</v>
      </c>
    </row>
    <row r="63" spans="1:10" ht="15" customHeight="1">
      <c r="A63" s="32">
        <f>IF(58&lt;=Datos!$B$13,58,"")</f>
        <v>58</v>
      </c>
      <c r="B63" s="44">
        <f>IF(A63="","",EDATE(Datos!$B$19,A63-1))</f>
        <v>48000</v>
      </c>
      <c r="C63" s="35">
        <f>IF(A63="","",I62)</f>
        <v>179002.80012596201</v>
      </c>
      <c r="D63" s="35">
        <f>IF(A63="","",C63*Datos!$B$17/Datos!$B$12)</f>
        <v>447.50700031490504</v>
      </c>
      <c r="E63" s="35">
        <f>IF(A63="","",MIN(Datos!$B$20,C63+D63))</f>
        <v>843.20806745890093</v>
      </c>
      <c r="F63" s="35">
        <f>IF(A63="","",MAX(0,E63-D63))</f>
        <v>395.70106714399589</v>
      </c>
      <c r="G63" s="36">
        <v>0</v>
      </c>
      <c r="H63" s="35">
        <f>IF(A63="","",MIN(C63,F63+G63))</f>
        <v>395.70106714399589</v>
      </c>
      <c r="I63" s="35">
        <f>IF(A63="","",MAX(0,C63-H63))</f>
        <v>178607.09905881801</v>
      </c>
      <c r="J63" s="35">
        <f>IF(A63="","",D63+H63)</f>
        <v>843.20806745890093</v>
      </c>
    </row>
    <row r="64" spans="1:10" ht="15" customHeight="1">
      <c r="A64" s="32">
        <f>IF(59&lt;=Datos!$B$13,59,"")</f>
        <v>59</v>
      </c>
      <c r="B64" s="44">
        <f>IF(A64="","",EDATE(Datos!$B$19,A64-1))</f>
        <v>48030</v>
      </c>
      <c r="C64" s="35">
        <f>IF(A64="","",I63)</f>
        <v>178607.09905881801</v>
      </c>
      <c r="D64" s="35">
        <f>IF(A64="","",C64*Datos!$B$17/Datos!$B$12)</f>
        <v>446.51774764704504</v>
      </c>
      <c r="E64" s="35">
        <f>IF(A64="","",MIN(Datos!$B$20,C64+D64))</f>
        <v>843.20806745890093</v>
      </c>
      <c r="F64" s="35">
        <f>IF(A64="","",MAX(0,E64-D64))</f>
        <v>396.69031981185589</v>
      </c>
      <c r="G64" s="36">
        <v>0</v>
      </c>
      <c r="H64" s="35">
        <f>IF(A64="","",MIN(C64,F64+G64))</f>
        <v>396.69031981185589</v>
      </c>
      <c r="I64" s="35">
        <f>IF(A64="","",MAX(0,C64-H64))</f>
        <v>178210.40873900615</v>
      </c>
      <c r="J64" s="35">
        <f>IF(A64="","",D64+H64)</f>
        <v>843.20806745890093</v>
      </c>
    </row>
    <row r="65" spans="1:10" ht="15" customHeight="1">
      <c r="A65" s="32">
        <f>IF(60&lt;=Datos!$B$13,60,"")</f>
        <v>60</v>
      </c>
      <c r="B65" s="44">
        <f>IF(A65="","",EDATE(Datos!$B$19,A65-1))</f>
        <v>48061</v>
      </c>
      <c r="C65" s="35">
        <f>IF(A65="","",I64)</f>
        <v>178210.40873900615</v>
      </c>
      <c r="D65" s="35">
        <f>IF(A65="","",C65*Datos!$B$17/Datos!$B$12)</f>
        <v>445.52602184751532</v>
      </c>
      <c r="E65" s="35">
        <f>IF(A65="","",MIN(Datos!$B$20,C65+D65))</f>
        <v>843.20806745890093</v>
      </c>
      <c r="F65" s="35">
        <f>IF(A65="","",MAX(0,E65-D65))</f>
        <v>397.6820456113856</v>
      </c>
      <c r="G65" s="36">
        <v>0</v>
      </c>
      <c r="H65" s="35">
        <f>IF(A65="","",MIN(C65,F65+G65))</f>
        <v>397.6820456113856</v>
      </c>
      <c r="I65" s="35">
        <f>IF(A65="","",MAX(0,C65-H65))</f>
        <v>177812.72669339477</v>
      </c>
      <c r="J65" s="35">
        <f>IF(A65="","",D65+H65)</f>
        <v>843.20806745890093</v>
      </c>
    </row>
    <row r="66" spans="1:10" ht="15" customHeight="1">
      <c r="A66" s="32">
        <f>IF(61&lt;=Datos!$B$13,61,"")</f>
        <v>61</v>
      </c>
      <c r="B66" s="44">
        <f>IF(A66="","",EDATE(Datos!$B$19,A66-1))</f>
        <v>48092</v>
      </c>
      <c r="C66" s="35">
        <f>IF(A66="","",I65)</f>
        <v>177812.72669339477</v>
      </c>
      <c r="D66" s="35">
        <f>IF(A66="","",C66*Datos!$B$17/Datos!$B$12)</f>
        <v>444.53181673348689</v>
      </c>
      <c r="E66" s="35">
        <f>IF(A66="","",MIN(Datos!$B$20,C66+D66))</f>
        <v>843.20806745890093</v>
      </c>
      <c r="F66" s="35">
        <f>IF(A66="","",MAX(0,E66-D66))</f>
        <v>398.67625072541404</v>
      </c>
      <c r="G66" s="36">
        <v>0</v>
      </c>
      <c r="H66" s="35">
        <f>IF(A66="","",MIN(C66,F66+G66))</f>
        <v>398.67625072541404</v>
      </c>
      <c r="I66" s="35">
        <f>IF(A66="","",MAX(0,C66-H66))</f>
        <v>177414.05044266937</v>
      </c>
      <c r="J66" s="35">
        <f>IF(A66="","",D66+H66)</f>
        <v>843.20806745890093</v>
      </c>
    </row>
    <row r="67" spans="1:10" ht="15" customHeight="1">
      <c r="A67" s="32">
        <f>IF(62&lt;=Datos!$B$13,62,"")</f>
        <v>62</v>
      </c>
      <c r="B67" s="44">
        <f>IF(A67="","",EDATE(Datos!$B$19,A67-1))</f>
        <v>48122</v>
      </c>
      <c r="C67" s="35">
        <f>IF(A67="","",I66)</f>
        <v>177414.05044266937</v>
      </c>
      <c r="D67" s="35">
        <f>IF(A67="","",C67*Datos!$B$17/Datos!$B$12)</f>
        <v>443.53512610667343</v>
      </c>
      <c r="E67" s="35">
        <f>IF(A67="","",MIN(Datos!$B$20,C67+D67))</f>
        <v>843.20806745890093</v>
      </c>
      <c r="F67" s="35">
        <f>IF(A67="","",MAX(0,E67-D67))</f>
        <v>399.6729413522275</v>
      </c>
      <c r="G67" s="36">
        <v>0</v>
      </c>
      <c r="H67" s="35">
        <f>IF(A67="","",MIN(C67,F67+G67))</f>
        <v>399.6729413522275</v>
      </c>
      <c r="I67" s="35">
        <f>IF(A67="","",MAX(0,C67-H67))</f>
        <v>177014.37750131713</v>
      </c>
      <c r="J67" s="35">
        <f>IF(A67="","",D67+H67)</f>
        <v>843.20806745890093</v>
      </c>
    </row>
    <row r="68" spans="1:10" ht="15" customHeight="1">
      <c r="A68" s="32">
        <f>IF(63&lt;=Datos!$B$13,63,"")</f>
        <v>63</v>
      </c>
      <c r="B68" s="44">
        <f>IF(A68="","",EDATE(Datos!$B$19,A68-1))</f>
        <v>48153</v>
      </c>
      <c r="C68" s="35">
        <f>IF(A68="","",I67)</f>
        <v>177014.37750131713</v>
      </c>
      <c r="D68" s="35">
        <f>IF(A68="","",C68*Datos!$B$17/Datos!$B$12)</f>
        <v>442.53594375329277</v>
      </c>
      <c r="E68" s="35">
        <f>IF(A68="","",MIN(Datos!$B$20,C68+D68))</f>
        <v>843.20806745890093</v>
      </c>
      <c r="F68" s="35">
        <f>IF(A68="","",MAX(0,E68-D68))</f>
        <v>400.67212370560816</v>
      </c>
      <c r="G68" s="36">
        <v>0</v>
      </c>
      <c r="H68" s="35">
        <f>IF(A68="","",MIN(C68,F68+G68))</f>
        <v>400.67212370560816</v>
      </c>
      <c r="I68" s="35">
        <f>IF(A68="","",MAX(0,C68-H68))</f>
        <v>176613.70537761151</v>
      </c>
      <c r="J68" s="35">
        <f>IF(A68="","",D68+H68)</f>
        <v>843.20806745890093</v>
      </c>
    </row>
    <row r="69" spans="1:10" ht="15" customHeight="1">
      <c r="A69" s="32">
        <f>IF(64&lt;=Datos!$B$13,64,"")</f>
        <v>64</v>
      </c>
      <c r="B69" s="44">
        <f>IF(A69="","",EDATE(Datos!$B$19,A69-1))</f>
        <v>48183</v>
      </c>
      <c r="C69" s="35">
        <f>IF(A69="","",I68)</f>
        <v>176613.70537761151</v>
      </c>
      <c r="D69" s="35">
        <f>IF(A69="","",C69*Datos!$B$17/Datos!$B$12)</f>
        <v>441.53426344402874</v>
      </c>
      <c r="E69" s="35">
        <f>IF(A69="","",MIN(Datos!$B$20,C69+D69))</f>
        <v>843.20806745890093</v>
      </c>
      <c r="F69" s="35">
        <f>IF(A69="","",MAX(0,E69-D69))</f>
        <v>401.67380401487219</v>
      </c>
      <c r="G69" s="36">
        <v>0</v>
      </c>
      <c r="H69" s="35">
        <f>IF(A69="","",MIN(C69,F69+G69))</f>
        <v>401.67380401487219</v>
      </c>
      <c r="I69" s="35">
        <f>IF(A69="","",MAX(0,C69-H69))</f>
        <v>176212.03157359664</v>
      </c>
      <c r="J69" s="35">
        <f>IF(A69="","",D69+H69)</f>
        <v>843.20806745890093</v>
      </c>
    </row>
    <row r="70" spans="1:10" ht="15" customHeight="1">
      <c r="A70" s="32">
        <f>IF(65&lt;=Datos!$B$13,65,"")</f>
        <v>65</v>
      </c>
      <c r="B70" s="44">
        <f>IF(A70="","",EDATE(Datos!$B$19,A70-1))</f>
        <v>48214</v>
      </c>
      <c r="C70" s="35">
        <f>IF(A70="","",I69)</f>
        <v>176212.03157359664</v>
      </c>
      <c r="D70" s="35">
        <f>IF(A70="","",C70*Datos!$B$17/Datos!$B$12)</f>
        <v>440.53007893399155</v>
      </c>
      <c r="E70" s="35">
        <f>IF(A70="","",MIN(Datos!$B$20,C70+D70))</f>
        <v>843.20806745890093</v>
      </c>
      <c r="F70" s="35">
        <f>IF(A70="","",MAX(0,E70-D70))</f>
        <v>402.67798852490938</v>
      </c>
      <c r="G70" s="36">
        <v>0</v>
      </c>
      <c r="H70" s="35">
        <f>IF(A70="","",MIN(C70,F70+G70))</f>
        <v>402.67798852490938</v>
      </c>
      <c r="I70" s="35">
        <f>IF(A70="","",MAX(0,C70-H70))</f>
        <v>175809.35358507175</v>
      </c>
      <c r="J70" s="35">
        <f>IF(A70="","",D70+H70)</f>
        <v>843.20806745890093</v>
      </c>
    </row>
    <row r="71" spans="1:10" ht="15" customHeight="1">
      <c r="A71" s="32">
        <f>IF(66&lt;=Datos!$B$13,66,"")</f>
        <v>66</v>
      </c>
      <c r="B71" s="44">
        <f>IF(A71="","",EDATE(Datos!$B$19,A71-1))</f>
        <v>48245</v>
      </c>
      <c r="C71" s="35">
        <f>IF(A71="","",I70)</f>
        <v>175809.35358507175</v>
      </c>
      <c r="D71" s="35">
        <f>IF(A71="","",C71*Datos!$B$17/Datos!$B$12)</f>
        <v>439.52338396267936</v>
      </c>
      <c r="E71" s="35">
        <f>IF(A71="","",MIN(Datos!$B$20,C71+D71))</f>
        <v>843.20806745890093</v>
      </c>
      <c r="F71" s="35">
        <f>IF(A71="","",MAX(0,E71-D71))</f>
        <v>403.68468349622157</v>
      </c>
      <c r="G71" s="36">
        <v>0</v>
      </c>
      <c r="H71" s="35">
        <f>IF(A71="","",MIN(C71,F71+G71))</f>
        <v>403.68468349622157</v>
      </c>
      <c r="I71" s="35">
        <f>IF(A71="","",MAX(0,C71-H71))</f>
        <v>175405.66890157553</v>
      </c>
      <c r="J71" s="35">
        <f>IF(A71="","",D71+H71)</f>
        <v>843.20806745890093</v>
      </c>
    </row>
    <row r="72" spans="1:10" ht="15" customHeight="1">
      <c r="A72" s="32">
        <f>IF(67&lt;=Datos!$B$13,67,"")</f>
        <v>67</v>
      </c>
      <c r="B72" s="44">
        <f>IF(A72="","",EDATE(Datos!$B$19,A72-1))</f>
        <v>48274</v>
      </c>
      <c r="C72" s="35">
        <f>IF(A72="","",I71)</f>
        <v>175405.66890157553</v>
      </c>
      <c r="D72" s="35">
        <f>IF(A72="","",C72*Datos!$B$17/Datos!$B$12)</f>
        <v>438.5141722539388</v>
      </c>
      <c r="E72" s="35">
        <f>IF(A72="","",MIN(Datos!$B$20,C72+D72))</f>
        <v>843.20806745890093</v>
      </c>
      <c r="F72" s="35">
        <f>IF(A72="","",MAX(0,E72-D72))</f>
        <v>404.69389520496213</v>
      </c>
      <c r="G72" s="36">
        <v>0</v>
      </c>
      <c r="H72" s="35">
        <f>IF(A72="","",MIN(C72,F72+G72))</f>
        <v>404.69389520496213</v>
      </c>
      <c r="I72" s="35">
        <f>IF(A72="","",MAX(0,C72-H72))</f>
        <v>175000.97500637057</v>
      </c>
      <c r="J72" s="35">
        <f>IF(A72="","",D72+H72)</f>
        <v>843.20806745890093</v>
      </c>
    </row>
    <row r="73" spans="1:10" ht="15" customHeight="1">
      <c r="A73" s="32">
        <f>IF(68&lt;=Datos!$B$13,68,"")</f>
        <v>68</v>
      </c>
      <c r="B73" s="44">
        <f>IF(A73="","",EDATE(Datos!$B$19,A73-1))</f>
        <v>48305</v>
      </c>
      <c r="C73" s="35">
        <f>IF(A73="","",I72)</f>
        <v>175000.97500637057</v>
      </c>
      <c r="D73" s="35">
        <f>IF(A73="","",C73*Datos!$B$17/Datos!$B$12)</f>
        <v>437.50243751592643</v>
      </c>
      <c r="E73" s="35">
        <f>IF(A73="","",MIN(Datos!$B$20,C73+D73))</f>
        <v>843.20806745890093</v>
      </c>
      <c r="F73" s="35">
        <f>IF(A73="","",MAX(0,E73-D73))</f>
        <v>405.7056299429745</v>
      </c>
      <c r="G73" s="36">
        <v>0</v>
      </c>
      <c r="H73" s="35">
        <f>IF(A73="","",MIN(C73,F73+G73))</f>
        <v>405.7056299429745</v>
      </c>
      <c r="I73" s="35">
        <f>IF(A73="","",MAX(0,C73-H73))</f>
        <v>174595.2693764276</v>
      </c>
      <c r="J73" s="35">
        <f>IF(A73="","",D73+H73)</f>
        <v>843.20806745890093</v>
      </c>
    </row>
    <row r="74" spans="1:10" ht="15" customHeight="1">
      <c r="A74" s="32">
        <f>IF(69&lt;=Datos!$B$13,69,"")</f>
        <v>69</v>
      </c>
      <c r="B74" s="44">
        <f>IF(A74="","",EDATE(Datos!$B$19,A74-1))</f>
        <v>48335</v>
      </c>
      <c r="C74" s="35">
        <f>IF(A74="","",I73)</f>
        <v>174595.2693764276</v>
      </c>
      <c r="D74" s="35">
        <f>IF(A74="","",C74*Datos!$B$17/Datos!$B$12)</f>
        <v>436.48817344106897</v>
      </c>
      <c r="E74" s="35">
        <f>IF(A74="","",MIN(Datos!$B$20,C74+D74))</f>
        <v>843.20806745890093</v>
      </c>
      <c r="F74" s="35">
        <f>IF(A74="","",MAX(0,E74-D74))</f>
        <v>406.71989401783196</v>
      </c>
      <c r="G74" s="36">
        <v>0</v>
      </c>
      <c r="H74" s="35">
        <f>IF(A74="","",MIN(C74,F74+G74))</f>
        <v>406.71989401783196</v>
      </c>
      <c r="I74" s="35">
        <f>IF(A74="","",MAX(0,C74-H74))</f>
        <v>174188.54948240978</v>
      </c>
      <c r="J74" s="35">
        <f>IF(A74="","",D74+H74)</f>
        <v>843.20806745890093</v>
      </c>
    </row>
    <row r="75" spans="1:10" ht="15" customHeight="1">
      <c r="A75" s="32">
        <f>IF(70&lt;=Datos!$B$13,70,"")</f>
        <v>70</v>
      </c>
      <c r="B75" s="44">
        <f>IF(A75="","",EDATE(Datos!$B$19,A75-1))</f>
        <v>48366</v>
      </c>
      <c r="C75" s="35">
        <f>IF(A75="","",I74)</f>
        <v>174188.54948240978</v>
      </c>
      <c r="D75" s="35">
        <f>IF(A75="","",C75*Datos!$B$17/Datos!$B$12)</f>
        <v>435.47137370602445</v>
      </c>
      <c r="E75" s="35">
        <f>IF(A75="","",MIN(Datos!$B$20,C75+D75))</f>
        <v>843.20806745890093</v>
      </c>
      <c r="F75" s="35">
        <f>IF(A75="","",MAX(0,E75-D75))</f>
        <v>407.73669375287648</v>
      </c>
      <c r="G75" s="36">
        <v>0</v>
      </c>
      <c r="H75" s="35">
        <f>IF(A75="","",MIN(C75,F75+G75))</f>
        <v>407.73669375287648</v>
      </c>
      <c r="I75" s="35">
        <f>IF(A75="","",MAX(0,C75-H75))</f>
        <v>173780.81278865691</v>
      </c>
      <c r="J75" s="35">
        <f>IF(A75="","",D75+H75)</f>
        <v>843.20806745890093</v>
      </c>
    </row>
    <row r="76" spans="1:10" ht="15" customHeight="1">
      <c r="A76" s="32">
        <f>IF(71&lt;=Datos!$B$13,71,"")</f>
        <v>71</v>
      </c>
      <c r="B76" s="44">
        <f>IF(A76="","",EDATE(Datos!$B$19,A76-1))</f>
        <v>48396</v>
      </c>
      <c r="C76" s="35">
        <f>IF(A76="","",I75)</f>
        <v>173780.81278865691</v>
      </c>
      <c r="D76" s="35">
        <f>IF(A76="","",C76*Datos!$B$17/Datos!$B$12)</f>
        <v>434.45203197164227</v>
      </c>
      <c r="E76" s="35">
        <f>IF(A76="","",MIN(Datos!$B$20,C76+D76))</f>
        <v>843.20806745890093</v>
      </c>
      <c r="F76" s="35">
        <f>IF(A76="","",MAX(0,E76-D76))</f>
        <v>408.75603548725866</v>
      </c>
      <c r="G76" s="36">
        <v>0</v>
      </c>
      <c r="H76" s="35">
        <f>IF(A76="","",MIN(C76,F76+G76))</f>
        <v>408.75603548725866</v>
      </c>
      <c r="I76" s="35">
        <f>IF(A76="","",MAX(0,C76-H76))</f>
        <v>173372.05675316966</v>
      </c>
      <c r="J76" s="35">
        <f>IF(A76="","",D76+H76)</f>
        <v>843.20806745890093</v>
      </c>
    </row>
    <row r="77" spans="1:10" ht="15" customHeight="1">
      <c r="A77" s="32">
        <f>IF(72&lt;=Datos!$B$13,72,"")</f>
        <v>72</v>
      </c>
      <c r="B77" s="44">
        <f>IF(A77="","",EDATE(Datos!$B$19,A77-1))</f>
        <v>48427</v>
      </c>
      <c r="C77" s="35">
        <f>IF(A77="","",I76)</f>
        <v>173372.05675316966</v>
      </c>
      <c r="D77" s="35">
        <f>IF(A77="","",C77*Datos!$B$17/Datos!$B$12)</f>
        <v>433.43014188292415</v>
      </c>
      <c r="E77" s="35">
        <f>IF(A77="","",MIN(Datos!$B$20,C77+D77))</f>
        <v>843.20806745890093</v>
      </c>
      <c r="F77" s="35">
        <f>IF(A77="","",MAX(0,E77-D77))</f>
        <v>409.77792557597678</v>
      </c>
      <c r="G77" s="36">
        <v>0</v>
      </c>
      <c r="H77" s="35">
        <f>IF(A77="","",MIN(C77,F77+G77))</f>
        <v>409.77792557597678</v>
      </c>
      <c r="I77" s="35">
        <f>IF(A77="","",MAX(0,C77-H77))</f>
        <v>172962.27882759369</v>
      </c>
      <c r="J77" s="35">
        <f>IF(A77="","",D77+H77)</f>
        <v>843.20806745890093</v>
      </c>
    </row>
    <row r="78" spans="1:10" ht="15" customHeight="1">
      <c r="A78" s="32">
        <f>IF(73&lt;=Datos!$B$13,73,"")</f>
        <v>73</v>
      </c>
      <c r="B78" s="44">
        <f>IF(A78="","",EDATE(Datos!$B$19,A78-1))</f>
        <v>48458</v>
      </c>
      <c r="C78" s="35">
        <f>IF(A78="","",I77)</f>
        <v>172962.27882759369</v>
      </c>
      <c r="D78" s="35">
        <f>IF(A78="","",C78*Datos!$B$17/Datos!$B$12)</f>
        <v>432.40569706898418</v>
      </c>
      <c r="E78" s="35">
        <f>IF(A78="","",MIN(Datos!$B$20,C78+D78))</f>
        <v>843.20806745890093</v>
      </c>
      <c r="F78" s="35">
        <f>IF(A78="","",MAX(0,E78-D78))</f>
        <v>410.80237038991675</v>
      </c>
      <c r="G78" s="36">
        <v>0</v>
      </c>
      <c r="H78" s="35">
        <f>IF(A78="","",MIN(C78,F78+G78))</f>
        <v>410.80237038991675</v>
      </c>
      <c r="I78" s="35">
        <f>IF(A78="","",MAX(0,C78-H78))</f>
        <v>172551.47645720377</v>
      </c>
      <c r="J78" s="35">
        <f>IF(A78="","",D78+H78)</f>
        <v>843.20806745890093</v>
      </c>
    </row>
    <row r="79" spans="1:10" ht="15" customHeight="1">
      <c r="A79" s="32">
        <f>IF(74&lt;=Datos!$B$13,74,"")</f>
        <v>74</v>
      </c>
      <c r="B79" s="44">
        <f>IF(A79="","",EDATE(Datos!$B$19,A79-1))</f>
        <v>48488</v>
      </c>
      <c r="C79" s="35">
        <f>IF(A79="","",I78)</f>
        <v>172551.47645720377</v>
      </c>
      <c r="D79" s="35">
        <f>IF(A79="","",C79*Datos!$B$17/Datos!$B$12)</f>
        <v>431.37869114300935</v>
      </c>
      <c r="E79" s="35">
        <f>IF(A79="","",MIN(Datos!$B$20,C79+D79))</f>
        <v>843.20806745890093</v>
      </c>
      <c r="F79" s="35">
        <f>IF(A79="","",MAX(0,E79-D79))</f>
        <v>411.82937631589158</v>
      </c>
      <c r="G79" s="36">
        <v>0</v>
      </c>
      <c r="H79" s="35">
        <f>IF(A79="","",MIN(C79,F79+G79))</f>
        <v>411.82937631589158</v>
      </c>
      <c r="I79" s="35">
        <f>IF(A79="","",MAX(0,C79-H79))</f>
        <v>172139.64708088787</v>
      </c>
      <c r="J79" s="35">
        <f>IF(A79="","",D79+H79)</f>
        <v>843.20806745890093</v>
      </c>
    </row>
    <row r="80" spans="1:10" ht="15" customHeight="1">
      <c r="A80" s="32">
        <f>IF(75&lt;=Datos!$B$13,75,"")</f>
        <v>75</v>
      </c>
      <c r="B80" s="44">
        <f>IF(A80="","",EDATE(Datos!$B$19,A80-1))</f>
        <v>48519</v>
      </c>
      <c r="C80" s="35">
        <f>IF(A80="","",I79)</f>
        <v>172139.64708088787</v>
      </c>
      <c r="D80" s="35">
        <f>IF(A80="","",C80*Datos!$B$17/Datos!$B$12)</f>
        <v>430.34911770221964</v>
      </c>
      <c r="E80" s="35">
        <f>IF(A80="","",MIN(Datos!$B$20,C80+D80))</f>
        <v>843.20806745890093</v>
      </c>
      <c r="F80" s="35">
        <f>IF(A80="","",MAX(0,E80-D80))</f>
        <v>412.85894975668128</v>
      </c>
      <c r="G80" s="36">
        <v>0</v>
      </c>
      <c r="H80" s="35">
        <f>IF(A80="","",MIN(C80,F80+G80))</f>
        <v>412.85894975668128</v>
      </c>
      <c r="I80" s="35">
        <f>IF(A80="","",MAX(0,C80-H80))</f>
        <v>171726.78813113118</v>
      </c>
      <c r="J80" s="35">
        <f>IF(A80="","",D80+H80)</f>
        <v>843.20806745890093</v>
      </c>
    </row>
    <row r="81" spans="1:10" ht="15" customHeight="1">
      <c r="A81" s="32">
        <f>IF(76&lt;=Datos!$B$13,76,"")</f>
        <v>76</v>
      </c>
      <c r="B81" s="44">
        <f>IF(A81="","",EDATE(Datos!$B$19,A81-1))</f>
        <v>48549</v>
      </c>
      <c r="C81" s="35">
        <f>IF(A81="","",I80)</f>
        <v>171726.78813113118</v>
      </c>
      <c r="D81" s="35">
        <f>IF(A81="","",C81*Datos!$B$17/Datos!$B$12)</f>
        <v>429.3169703278279</v>
      </c>
      <c r="E81" s="35">
        <f>IF(A81="","",MIN(Datos!$B$20,C81+D81))</f>
        <v>843.20806745890093</v>
      </c>
      <c r="F81" s="35">
        <f>IF(A81="","",MAX(0,E81-D81))</f>
        <v>413.89109713107302</v>
      </c>
      <c r="G81" s="36">
        <v>0</v>
      </c>
      <c r="H81" s="35">
        <f>IF(A81="","",MIN(C81,F81+G81))</f>
        <v>413.89109713107302</v>
      </c>
      <c r="I81" s="35">
        <f>IF(A81="","",MAX(0,C81-H81))</f>
        <v>171312.89703400011</v>
      </c>
      <c r="J81" s="35">
        <f>IF(A81="","",D81+H81)</f>
        <v>843.20806745890093</v>
      </c>
    </row>
    <row r="82" spans="1:10" ht="15" customHeight="1">
      <c r="A82" s="32">
        <f>IF(77&lt;=Datos!$B$13,77,"")</f>
        <v>77</v>
      </c>
      <c r="B82" s="44">
        <f>IF(A82="","",EDATE(Datos!$B$19,A82-1))</f>
        <v>48580</v>
      </c>
      <c r="C82" s="35">
        <f>IF(A82="","",I81)</f>
        <v>171312.89703400011</v>
      </c>
      <c r="D82" s="35">
        <f>IF(A82="","",C82*Datos!$B$17/Datos!$B$12)</f>
        <v>428.28224258500023</v>
      </c>
      <c r="E82" s="35">
        <f>IF(A82="","",MIN(Datos!$B$20,C82+D82))</f>
        <v>843.20806745890093</v>
      </c>
      <c r="F82" s="35">
        <f>IF(A82="","",MAX(0,E82-D82))</f>
        <v>414.92582487390069</v>
      </c>
      <c r="G82" s="36">
        <v>0</v>
      </c>
      <c r="H82" s="35">
        <f>IF(A82="","",MIN(C82,F82+G82))</f>
        <v>414.92582487390069</v>
      </c>
      <c r="I82" s="35">
        <f>IF(A82="","",MAX(0,C82-H82))</f>
        <v>170897.9712091262</v>
      </c>
      <c r="J82" s="35">
        <f>IF(A82="","",D82+H82)</f>
        <v>843.20806745890093</v>
      </c>
    </row>
    <row r="83" spans="1:10" ht="15" customHeight="1">
      <c r="A83" s="32">
        <f>IF(78&lt;=Datos!$B$13,78,"")</f>
        <v>78</v>
      </c>
      <c r="B83" s="44">
        <f>IF(A83="","",EDATE(Datos!$B$19,A83-1))</f>
        <v>48611</v>
      </c>
      <c r="C83" s="35">
        <f>IF(A83="","",I82)</f>
        <v>170897.9712091262</v>
      </c>
      <c r="D83" s="35">
        <f>IF(A83="","",C83*Datos!$B$17/Datos!$B$12)</f>
        <v>427.24492802281549</v>
      </c>
      <c r="E83" s="35">
        <f>IF(A83="","",MIN(Datos!$B$20,C83+D83))</f>
        <v>843.20806745890093</v>
      </c>
      <c r="F83" s="35">
        <f>IF(A83="","",MAX(0,E83-D83))</f>
        <v>415.96313943608544</v>
      </c>
      <c r="G83" s="36">
        <v>0</v>
      </c>
      <c r="H83" s="35">
        <f>IF(A83="","",MIN(C83,F83+G83))</f>
        <v>415.96313943608544</v>
      </c>
      <c r="I83" s="35">
        <f>IF(A83="","",MAX(0,C83-H83))</f>
        <v>170482.00806969011</v>
      </c>
      <c r="J83" s="35">
        <f>IF(A83="","",D83+H83)</f>
        <v>843.20806745890093</v>
      </c>
    </row>
    <row r="84" spans="1:10" ht="15" customHeight="1">
      <c r="A84" s="32">
        <f>IF(79&lt;=Datos!$B$13,79,"")</f>
        <v>79</v>
      </c>
      <c r="B84" s="44">
        <f>IF(A84="","",EDATE(Datos!$B$19,A84-1))</f>
        <v>48639</v>
      </c>
      <c r="C84" s="35">
        <f>IF(A84="","",I83)</f>
        <v>170482.00806969011</v>
      </c>
      <c r="D84" s="35">
        <f>IF(A84="","",C84*Datos!$B$17/Datos!$B$12)</f>
        <v>426.20502017422524</v>
      </c>
      <c r="E84" s="35">
        <f>IF(A84="","",MIN(Datos!$B$20,C84+D84))</f>
        <v>843.20806745890093</v>
      </c>
      <c r="F84" s="35">
        <f>IF(A84="","",MAX(0,E84-D84))</f>
        <v>417.00304728467569</v>
      </c>
      <c r="G84" s="36">
        <v>0</v>
      </c>
      <c r="H84" s="35">
        <f>IF(A84="","",MIN(C84,F84+G84))</f>
        <v>417.00304728467569</v>
      </c>
      <c r="I84" s="35">
        <f>IF(A84="","",MAX(0,C84-H84))</f>
        <v>170065.00502240544</v>
      </c>
      <c r="J84" s="35">
        <f>IF(A84="","",D84+H84)</f>
        <v>843.20806745890093</v>
      </c>
    </row>
    <row r="85" spans="1:10" ht="15" customHeight="1">
      <c r="A85" s="32">
        <f>IF(80&lt;=Datos!$B$13,80,"")</f>
        <v>80</v>
      </c>
      <c r="B85" s="44">
        <f>IF(A85="","",EDATE(Datos!$B$19,A85-1))</f>
        <v>48670</v>
      </c>
      <c r="C85" s="35">
        <f>IF(A85="","",I84)</f>
        <v>170065.00502240544</v>
      </c>
      <c r="D85" s="35">
        <f>IF(A85="","",C85*Datos!$B$17/Datos!$B$12)</f>
        <v>425.16251255601361</v>
      </c>
      <c r="E85" s="35">
        <f>IF(A85="","",MIN(Datos!$B$20,C85+D85))</f>
        <v>843.20806745890093</v>
      </c>
      <c r="F85" s="35">
        <f>IF(A85="","",MAX(0,E85-D85))</f>
        <v>418.04555490288732</v>
      </c>
      <c r="G85" s="36">
        <v>0</v>
      </c>
      <c r="H85" s="35">
        <f>IF(A85="","",MIN(C85,F85+G85))</f>
        <v>418.04555490288732</v>
      </c>
      <c r="I85" s="35">
        <f>IF(A85="","",MAX(0,C85-H85))</f>
        <v>169646.95946750254</v>
      </c>
      <c r="J85" s="35">
        <f>IF(A85="","",D85+H85)</f>
        <v>843.20806745890093</v>
      </c>
    </row>
    <row r="86" spans="1:10" ht="15" customHeight="1">
      <c r="A86" s="32">
        <f>IF(81&lt;=Datos!$B$13,81,"")</f>
        <v>81</v>
      </c>
      <c r="B86" s="44">
        <f>IF(A86="","",EDATE(Datos!$B$19,A86-1))</f>
        <v>48700</v>
      </c>
      <c r="C86" s="35">
        <f>IF(A86="","",I85)</f>
        <v>169646.95946750254</v>
      </c>
      <c r="D86" s="35">
        <f>IF(A86="","",C86*Datos!$B$17/Datos!$B$12)</f>
        <v>424.11739866875632</v>
      </c>
      <c r="E86" s="35">
        <f>IF(A86="","",MIN(Datos!$B$20,C86+D86))</f>
        <v>843.20806745890093</v>
      </c>
      <c r="F86" s="35">
        <f>IF(A86="","",MAX(0,E86-D86))</f>
        <v>419.0906687901446</v>
      </c>
      <c r="G86" s="36">
        <v>0</v>
      </c>
      <c r="H86" s="35">
        <f>IF(A86="","",MIN(C86,F86+G86))</f>
        <v>419.0906687901446</v>
      </c>
      <c r="I86" s="35">
        <f>IF(A86="","",MAX(0,C86-H86))</f>
        <v>169227.86879871238</v>
      </c>
      <c r="J86" s="35">
        <f>IF(A86="","",D86+H86)</f>
        <v>843.20806745890093</v>
      </c>
    </row>
    <row r="87" spans="1:10" ht="15" customHeight="1">
      <c r="A87" s="32">
        <f>IF(82&lt;=Datos!$B$13,82,"")</f>
        <v>82</v>
      </c>
      <c r="B87" s="44">
        <f>IF(A87="","",EDATE(Datos!$B$19,A87-1))</f>
        <v>48731</v>
      </c>
      <c r="C87" s="35">
        <f>IF(A87="","",I86)</f>
        <v>169227.86879871238</v>
      </c>
      <c r="D87" s="35">
        <f>IF(A87="","",C87*Datos!$B$17/Datos!$B$12)</f>
        <v>423.06967199678093</v>
      </c>
      <c r="E87" s="35">
        <f>IF(A87="","",MIN(Datos!$B$20,C87+D87))</f>
        <v>843.20806745890093</v>
      </c>
      <c r="F87" s="35">
        <f>IF(A87="","",MAX(0,E87-D87))</f>
        <v>420.13839546212</v>
      </c>
      <c r="G87" s="36">
        <v>0</v>
      </c>
      <c r="H87" s="35">
        <f>IF(A87="","",MIN(C87,F87+G87))</f>
        <v>420.13839546212</v>
      </c>
      <c r="I87" s="35">
        <f>IF(A87="","",MAX(0,C87-H87))</f>
        <v>168807.73040325026</v>
      </c>
      <c r="J87" s="35">
        <f>IF(A87="","",D87+H87)</f>
        <v>843.20806745890093</v>
      </c>
    </row>
    <row r="88" spans="1:10" ht="15" customHeight="1">
      <c r="A88" s="32">
        <f>IF(83&lt;=Datos!$B$13,83,"")</f>
        <v>83</v>
      </c>
      <c r="B88" s="44">
        <f>IF(A88="","",EDATE(Datos!$B$19,A88-1))</f>
        <v>48761</v>
      </c>
      <c r="C88" s="35">
        <f>IF(A88="","",I87)</f>
        <v>168807.73040325026</v>
      </c>
      <c r="D88" s="35">
        <f>IF(A88="","",C88*Datos!$B$17/Datos!$B$12)</f>
        <v>422.01932600812557</v>
      </c>
      <c r="E88" s="35">
        <f>IF(A88="","",MIN(Datos!$B$20,C88+D88))</f>
        <v>843.20806745890093</v>
      </c>
      <c r="F88" s="35">
        <f>IF(A88="","",MAX(0,E88-D88))</f>
        <v>421.18874145077535</v>
      </c>
      <c r="G88" s="36">
        <v>0</v>
      </c>
      <c r="H88" s="35">
        <f>IF(A88="","",MIN(C88,F88+G88))</f>
        <v>421.18874145077535</v>
      </c>
      <c r="I88" s="35">
        <f>IF(A88="","",MAX(0,C88-H88))</f>
        <v>168386.54166179948</v>
      </c>
      <c r="J88" s="35">
        <f>IF(A88="","",D88+H88)</f>
        <v>843.20806745890093</v>
      </c>
    </row>
    <row r="89" spans="1:10" ht="15" customHeight="1">
      <c r="A89" s="32">
        <f>IF(84&lt;=Datos!$B$13,84,"")</f>
        <v>84</v>
      </c>
      <c r="B89" s="44">
        <f>IF(A89="","",EDATE(Datos!$B$19,A89-1))</f>
        <v>48792</v>
      </c>
      <c r="C89" s="35">
        <f>IF(A89="","",I88)</f>
        <v>168386.54166179948</v>
      </c>
      <c r="D89" s="35">
        <f>IF(A89="","",C89*Datos!$B$17/Datos!$B$12)</f>
        <v>420.96635415449867</v>
      </c>
      <c r="E89" s="35">
        <f>IF(A89="","",MIN(Datos!$B$20,C89+D89))</f>
        <v>843.20806745890093</v>
      </c>
      <c r="F89" s="35">
        <f>IF(A89="","",MAX(0,E89-D89))</f>
        <v>422.24171330440225</v>
      </c>
      <c r="G89" s="36">
        <v>0</v>
      </c>
      <c r="H89" s="35">
        <f>IF(A89="","",MIN(C89,F89+G89))</f>
        <v>422.24171330440225</v>
      </c>
      <c r="I89" s="35">
        <f>IF(A89="","",MAX(0,C89-H89))</f>
        <v>167964.29994849509</v>
      </c>
      <c r="J89" s="35">
        <f>IF(A89="","",D89+H89)</f>
        <v>843.20806745890093</v>
      </c>
    </row>
    <row r="90" spans="1:10" ht="15" customHeight="1">
      <c r="A90" s="32">
        <f>IF(85&lt;=Datos!$B$13,85,"")</f>
        <v>85</v>
      </c>
      <c r="B90" s="44">
        <f>IF(A90="","",EDATE(Datos!$B$19,A90-1))</f>
        <v>48823</v>
      </c>
      <c r="C90" s="35">
        <f>IF(A90="","",I89)</f>
        <v>167964.29994849509</v>
      </c>
      <c r="D90" s="35">
        <f>IF(A90="","",C90*Datos!$B$17/Datos!$B$12)</f>
        <v>419.91074987123767</v>
      </c>
      <c r="E90" s="35">
        <f>IF(A90="","",MIN(Datos!$B$20,C90+D90))</f>
        <v>843.20806745890093</v>
      </c>
      <c r="F90" s="35">
        <f>IF(A90="","",MAX(0,E90-D90))</f>
        <v>423.29731758766326</v>
      </c>
      <c r="G90" s="36">
        <v>0</v>
      </c>
      <c r="H90" s="35">
        <f>IF(A90="","",MIN(C90,F90+G90))</f>
        <v>423.29731758766326</v>
      </c>
      <c r="I90" s="35">
        <f>IF(A90="","",MAX(0,C90-H90))</f>
        <v>167541.00263090743</v>
      </c>
      <c r="J90" s="35">
        <f>IF(A90="","",D90+H90)</f>
        <v>843.20806745890093</v>
      </c>
    </row>
    <row r="91" spans="1:10" ht="15" customHeight="1">
      <c r="A91" s="32">
        <f>IF(86&lt;=Datos!$B$13,86,"")</f>
        <v>86</v>
      </c>
      <c r="B91" s="44">
        <f>IF(A91="","",EDATE(Datos!$B$19,A91-1))</f>
        <v>48853</v>
      </c>
      <c r="C91" s="35">
        <f>IF(A91="","",I90)</f>
        <v>167541.00263090743</v>
      </c>
      <c r="D91" s="35">
        <f>IF(A91="","",C91*Datos!$B$17/Datos!$B$12)</f>
        <v>418.85250657726857</v>
      </c>
      <c r="E91" s="35">
        <f>IF(A91="","",MIN(Datos!$B$20,C91+D91))</f>
        <v>843.20806745890093</v>
      </c>
      <c r="F91" s="35">
        <f>IF(A91="","",MAX(0,E91-D91))</f>
        <v>424.35556088163236</v>
      </c>
      <c r="G91" s="36">
        <v>0</v>
      </c>
      <c r="H91" s="35">
        <f>IF(A91="","",MIN(C91,F91+G91))</f>
        <v>424.35556088163236</v>
      </c>
      <c r="I91" s="35">
        <f>IF(A91="","",MAX(0,C91-H91))</f>
        <v>167116.64707002579</v>
      </c>
      <c r="J91" s="35">
        <f>IF(A91="","",D91+H91)</f>
        <v>843.20806745890093</v>
      </c>
    </row>
    <row r="92" spans="1:10" ht="15" customHeight="1">
      <c r="A92" s="32">
        <f>IF(87&lt;=Datos!$B$13,87,"")</f>
        <v>87</v>
      </c>
      <c r="B92" s="44">
        <f>IF(A92="","",EDATE(Datos!$B$19,A92-1))</f>
        <v>48884</v>
      </c>
      <c r="C92" s="35">
        <f>IF(A92="","",I91)</f>
        <v>167116.64707002579</v>
      </c>
      <c r="D92" s="35">
        <f>IF(A92="","",C92*Datos!$B$17/Datos!$B$12)</f>
        <v>417.79161767506451</v>
      </c>
      <c r="E92" s="35">
        <f>IF(A92="","",MIN(Datos!$B$20,C92+D92))</f>
        <v>843.20806745890093</v>
      </c>
      <c r="F92" s="35">
        <f>IF(A92="","",MAX(0,E92-D92))</f>
        <v>425.41644978383641</v>
      </c>
      <c r="G92" s="36">
        <v>0</v>
      </c>
      <c r="H92" s="35">
        <f>IF(A92="","",MIN(C92,F92+G92))</f>
        <v>425.41644978383641</v>
      </c>
      <c r="I92" s="35">
        <f>IF(A92="","",MAX(0,C92-H92))</f>
        <v>166691.23062024196</v>
      </c>
      <c r="J92" s="35">
        <f>IF(A92="","",D92+H92)</f>
        <v>843.20806745890093</v>
      </c>
    </row>
    <row r="93" spans="1:10" ht="15" customHeight="1">
      <c r="A93" s="32">
        <f>IF(88&lt;=Datos!$B$13,88,"")</f>
        <v>88</v>
      </c>
      <c r="B93" s="44">
        <f>IF(A93="","",EDATE(Datos!$B$19,A93-1))</f>
        <v>48914</v>
      </c>
      <c r="C93" s="35">
        <f>IF(A93="","",I92)</f>
        <v>166691.23062024196</v>
      </c>
      <c r="D93" s="35">
        <f>IF(A93="","",C93*Datos!$B$17/Datos!$B$12)</f>
        <v>416.72807655060484</v>
      </c>
      <c r="E93" s="35">
        <f>IF(A93="","",MIN(Datos!$B$20,C93+D93))</f>
        <v>843.20806745890093</v>
      </c>
      <c r="F93" s="35">
        <f>IF(A93="","",MAX(0,E93-D93))</f>
        <v>426.47999090829609</v>
      </c>
      <c r="G93" s="36">
        <v>0</v>
      </c>
      <c r="H93" s="35">
        <f>IF(A93="","",MIN(C93,F93+G93))</f>
        <v>426.47999090829609</v>
      </c>
      <c r="I93" s="35">
        <f>IF(A93="","",MAX(0,C93-H93))</f>
        <v>166264.75062933366</v>
      </c>
      <c r="J93" s="35">
        <f>IF(A93="","",D93+H93)</f>
        <v>843.20806745890093</v>
      </c>
    </row>
    <row r="94" spans="1:10" ht="15" customHeight="1">
      <c r="A94" s="32">
        <f>IF(89&lt;=Datos!$B$13,89,"")</f>
        <v>89</v>
      </c>
      <c r="B94" s="44">
        <f>IF(A94="","",EDATE(Datos!$B$19,A94-1))</f>
        <v>48945</v>
      </c>
      <c r="C94" s="35">
        <f>IF(A94="","",I93)</f>
        <v>166264.75062933366</v>
      </c>
      <c r="D94" s="35">
        <f>IF(A94="","",C94*Datos!$B$17/Datos!$B$12)</f>
        <v>415.66187657333415</v>
      </c>
      <c r="E94" s="35">
        <f>IF(A94="","",MIN(Datos!$B$20,C94+D94))</f>
        <v>843.20806745890093</v>
      </c>
      <c r="F94" s="35">
        <f>IF(A94="","",MAX(0,E94-D94))</f>
        <v>427.54619088556677</v>
      </c>
      <c r="G94" s="36">
        <v>0</v>
      </c>
      <c r="H94" s="35">
        <f>IF(A94="","",MIN(C94,F94+G94))</f>
        <v>427.54619088556677</v>
      </c>
      <c r="I94" s="35">
        <f>IF(A94="","",MAX(0,C94-H94))</f>
        <v>165837.2044384481</v>
      </c>
      <c r="J94" s="35">
        <f>IF(A94="","",D94+H94)</f>
        <v>843.20806745890093</v>
      </c>
    </row>
    <row r="95" spans="1:10" ht="15" customHeight="1">
      <c r="A95" s="32">
        <f>IF(90&lt;=Datos!$B$13,90,"")</f>
        <v>90</v>
      </c>
      <c r="B95" s="44">
        <f>IF(A95="","",EDATE(Datos!$B$19,A95-1))</f>
        <v>48976</v>
      </c>
      <c r="C95" s="35">
        <f>IF(A95="","",I94)</f>
        <v>165837.2044384481</v>
      </c>
      <c r="D95" s="35">
        <f>IF(A95="","",C95*Datos!$B$17/Datos!$B$12)</f>
        <v>414.59301109612028</v>
      </c>
      <c r="E95" s="35">
        <f>IF(A95="","",MIN(Datos!$B$20,C95+D95))</f>
        <v>843.20806745890093</v>
      </c>
      <c r="F95" s="35">
        <f>IF(A95="","",MAX(0,E95-D95))</f>
        <v>428.61505636278065</v>
      </c>
      <c r="G95" s="36">
        <v>0</v>
      </c>
      <c r="H95" s="35">
        <f>IF(A95="","",MIN(C95,F95+G95))</f>
        <v>428.61505636278065</v>
      </c>
      <c r="I95" s="35">
        <f>IF(A95="","",MAX(0,C95-H95))</f>
        <v>165408.58938208531</v>
      </c>
      <c r="J95" s="35">
        <f>IF(A95="","",D95+H95)</f>
        <v>843.20806745890093</v>
      </c>
    </row>
    <row r="96" spans="1:10" ht="15" customHeight="1">
      <c r="A96" s="32">
        <f>IF(91&lt;=Datos!$B$13,91,"")</f>
        <v>91</v>
      </c>
      <c r="B96" s="44">
        <f>IF(A96="","",EDATE(Datos!$B$19,A96-1))</f>
        <v>49004</v>
      </c>
      <c r="C96" s="35">
        <f>IF(A96="","",I95)</f>
        <v>165408.58938208531</v>
      </c>
      <c r="D96" s="35">
        <f>IF(A96="","",C96*Datos!$B$17/Datos!$B$12)</f>
        <v>413.52147345521325</v>
      </c>
      <c r="E96" s="35">
        <f>IF(A96="","",MIN(Datos!$B$20,C96+D96))</f>
        <v>843.20806745890093</v>
      </c>
      <c r="F96" s="35">
        <f>IF(A96="","",MAX(0,E96-D96))</f>
        <v>429.68659400368767</v>
      </c>
      <c r="G96" s="36">
        <v>0</v>
      </c>
      <c r="H96" s="35">
        <f>IF(A96="","",MIN(C96,F96+G96))</f>
        <v>429.68659400368767</v>
      </c>
      <c r="I96" s="35">
        <f>IF(A96="","",MAX(0,C96-H96))</f>
        <v>164978.90278808161</v>
      </c>
      <c r="J96" s="35">
        <f>IF(A96="","",D96+H96)</f>
        <v>843.20806745890093</v>
      </c>
    </row>
    <row r="97" spans="1:10" ht="15" customHeight="1">
      <c r="A97" s="32">
        <f>IF(92&lt;=Datos!$B$13,92,"")</f>
        <v>92</v>
      </c>
      <c r="B97" s="44">
        <f>IF(A97="","",EDATE(Datos!$B$19,A97-1))</f>
        <v>49035</v>
      </c>
      <c r="C97" s="35">
        <f>IF(A97="","",I96)</f>
        <v>164978.90278808161</v>
      </c>
      <c r="D97" s="35">
        <f>IF(A97="","",C97*Datos!$B$17/Datos!$B$12)</f>
        <v>412.44725697020402</v>
      </c>
      <c r="E97" s="35">
        <f>IF(A97="","",MIN(Datos!$B$20,C97+D97))</f>
        <v>843.20806745890093</v>
      </c>
      <c r="F97" s="35">
        <f>IF(A97="","",MAX(0,E97-D97))</f>
        <v>430.7608104886969</v>
      </c>
      <c r="G97" s="36">
        <v>0</v>
      </c>
      <c r="H97" s="35">
        <f>IF(A97="","",MIN(C97,F97+G97))</f>
        <v>430.7608104886969</v>
      </c>
      <c r="I97" s="35">
        <f>IF(A97="","",MAX(0,C97-H97))</f>
        <v>164548.14197759292</v>
      </c>
      <c r="J97" s="35">
        <f>IF(A97="","",D97+H97)</f>
        <v>843.20806745890093</v>
      </c>
    </row>
    <row r="98" spans="1:10" ht="15" customHeight="1">
      <c r="A98" s="32">
        <f>IF(93&lt;=Datos!$B$13,93,"")</f>
        <v>93</v>
      </c>
      <c r="B98" s="44">
        <f>IF(A98="","",EDATE(Datos!$B$19,A98-1))</f>
        <v>49065</v>
      </c>
      <c r="C98" s="35">
        <f>IF(A98="","",I97)</f>
        <v>164548.14197759292</v>
      </c>
      <c r="D98" s="35">
        <f>IF(A98="","",C98*Datos!$B$17/Datos!$B$12)</f>
        <v>411.37035494398225</v>
      </c>
      <c r="E98" s="35">
        <f>IF(A98="","",MIN(Datos!$B$20,C98+D98))</f>
        <v>843.20806745890093</v>
      </c>
      <c r="F98" s="35">
        <f>IF(A98="","",MAX(0,E98-D98))</f>
        <v>431.83771251491868</v>
      </c>
      <c r="G98" s="36">
        <v>0</v>
      </c>
      <c r="H98" s="35">
        <f>IF(A98="","",MIN(C98,F98+G98))</f>
        <v>431.83771251491868</v>
      </c>
      <c r="I98" s="35">
        <f>IF(A98="","",MAX(0,C98-H98))</f>
        <v>164116.30426507801</v>
      </c>
      <c r="J98" s="35">
        <f>IF(A98="","",D98+H98)</f>
        <v>843.20806745890093</v>
      </c>
    </row>
    <row r="99" spans="1:10" ht="15" customHeight="1">
      <c r="A99" s="32">
        <f>IF(94&lt;=Datos!$B$13,94,"")</f>
        <v>94</v>
      </c>
      <c r="B99" s="44">
        <f>IF(A99="","",EDATE(Datos!$B$19,A99-1))</f>
        <v>49096</v>
      </c>
      <c r="C99" s="35">
        <f>IF(A99="","",I98)</f>
        <v>164116.30426507801</v>
      </c>
      <c r="D99" s="35">
        <f>IF(A99="","",C99*Datos!$B$17/Datos!$B$12)</f>
        <v>410.29076066269499</v>
      </c>
      <c r="E99" s="35">
        <f>IF(A99="","",MIN(Datos!$B$20,C99+D99))</f>
        <v>843.20806745890093</v>
      </c>
      <c r="F99" s="35">
        <f>IF(A99="","",MAX(0,E99-D99))</f>
        <v>432.91730679620593</v>
      </c>
      <c r="G99" s="36">
        <v>0</v>
      </c>
      <c r="H99" s="35">
        <f>IF(A99="","",MIN(C99,F99+G99))</f>
        <v>432.91730679620593</v>
      </c>
      <c r="I99" s="35">
        <f>IF(A99="","",MAX(0,C99-H99))</f>
        <v>163683.3869582818</v>
      </c>
      <c r="J99" s="35">
        <f>IF(A99="","",D99+H99)</f>
        <v>843.20806745890093</v>
      </c>
    </row>
    <row r="100" spans="1:10" ht="15" customHeight="1">
      <c r="A100" s="32">
        <f>IF(95&lt;=Datos!$B$13,95,"")</f>
        <v>95</v>
      </c>
      <c r="B100" s="44">
        <f>IF(A100="","",EDATE(Datos!$B$19,A100-1))</f>
        <v>49126</v>
      </c>
      <c r="C100" s="35">
        <f>IF(A100="","",I99)</f>
        <v>163683.3869582818</v>
      </c>
      <c r="D100" s="35">
        <f>IF(A100="","",C100*Datos!$B$17/Datos!$B$12)</f>
        <v>409.20846739570447</v>
      </c>
      <c r="E100" s="35">
        <f>IF(A100="","",MIN(Datos!$B$20,C100+D100))</f>
        <v>843.20806745890093</v>
      </c>
      <c r="F100" s="35">
        <f>IF(A100="","",MAX(0,E100-D100))</f>
        <v>433.99960006319645</v>
      </c>
      <c r="G100" s="36">
        <v>0</v>
      </c>
      <c r="H100" s="35">
        <f>IF(A100="","",MIN(C100,F100+G100))</f>
        <v>433.99960006319645</v>
      </c>
      <c r="I100" s="35">
        <f>IF(A100="","",MAX(0,C100-H100))</f>
        <v>163249.38735821861</v>
      </c>
      <c r="J100" s="35">
        <f>IF(A100="","",D100+H100)</f>
        <v>843.20806745890093</v>
      </c>
    </row>
    <row r="101" spans="1:10" ht="15" customHeight="1">
      <c r="A101" s="32">
        <f>IF(96&lt;=Datos!$B$13,96,"")</f>
        <v>96</v>
      </c>
      <c r="B101" s="44">
        <f>IF(A101="","",EDATE(Datos!$B$19,A101-1))</f>
        <v>49157</v>
      </c>
      <c r="C101" s="35">
        <f>IF(A101="","",I100)</f>
        <v>163249.38735821861</v>
      </c>
      <c r="D101" s="35">
        <f>IF(A101="","",C101*Datos!$B$17/Datos!$B$12)</f>
        <v>408.12346839554652</v>
      </c>
      <c r="E101" s="35">
        <f>IF(A101="","",MIN(Datos!$B$20,C101+D101))</f>
        <v>843.20806745890093</v>
      </c>
      <c r="F101" s="35">
        <f>IF(A101="","",MAX(0,E101-D101))</f>
        <v>435.0845990633544</v>
      </c>
      <c r="G101" s="36">
        <v>0</v>
      </c>
      <c r="H101" s="35">
        <f>IF(A101="","",MIN(C101,F101+G101))</f>
        <v>435.0845990633544</v>
      </c>
      <c r="I101" s="35">
        <f>IF(A101="","",MAX(0,C101-H101))</f>
        <v>162814.30275915525</v>
      </c>
      <c r="J101" s="35">
        <f>IF(A101="","",D101+H101)</f>
        <v>843.20806745890093</v>
      </c>
    </row>
    <row r="102" spans="1:10" ht="15" customHeight="1">
      <c r="A102" s="32">
        <f>IF(97&lt;=Datos!$B$13,97,"")</f>
        <v>97</v>
      </c>
      <c r="B102" s="44">
        <f>IF(A102="","",EDATE(Datos!$B$19,A102-1))</f>
        <v>49188</v>
      </c>
      <c r="C102" s="35">
        <f>IF(A102="","",I101)</f>
        <v>162814.30275915525</v>
      </c>
      <c r="D102" s="35">
        <f>IF(A102="","",C102*Datos!$B$17/Datos!$B$12)</f>
        <v>407.03575689788812</v>
      </c>
      <c r="E102" s="35">
        <f>IF(A102="","",MIN(Datos!$B$20,C102+D102))</f>
        <v>843.20806745890093</v>
      </c>
      <c r="F102" s="35">
        <f>IF(A102="","",MAX(0,E102-D102))</f>
        <v>436.17231056101281</v>
      </c>
      <c r="G102" s="36">
        <v>0</v>
      </c>
      <c r="H102" s="35">
        <f>IF(A102="","",MIN(C102,F102+G102))</f>
        <v>436.17231056101281</v>
      </c>
      <c r="I102" s="35">
        <f>IF(A102="","",MAX(0,C102-H102))</f>
        <v>162378.13044859425</v>
      </c>
      <c r="J102" s="35">
        <f>IF(A102="","",D102+H102)</f>
        <v>843.20806745890093</v>
      </c>
    </row>
    <row r="103" spans="1:10" ht="15" customHeight="1">
      <c r="A103" s="32">
        <f>IF(98&lt;=Datos!$B$13,98,"")</f>
        <v>98</v>
      </c>
      <c r="B103" s="44">
        <f>IF(A103="","",EDATE(Datos!$B$19,A103-1))</f>
        <v>49218</v>
      </c>
      <c r="C103" s="35">
        <f>IF(A103="","",I102)</f>
        <v>162378.13044859425</v>
      </c>
      <c r="D103" s="35">
        <f>IF(A103="","",C103*Datos!$B$17/Datos!$B$12)</f>
        <v>405.94532612148561</v>
      </c>
      <c r="E103" s="35">
        <f>IF(A103="","",MIN(Datos!$B$20,C103+D103))</f>
        <v>843.20806745890093</v>
      </c>
      <c r="F103" s="35">
        <f>IF(A103="","",MAX(0,E103-D103))</f>
        <v>437.26274133741532</v>
      </c>
      <c r="G103" s="36">
        <v>0</v>
      </c>
      <c r="H103" s="35">
        <f>IF(A103="","",MIN(C103,F103+G103))</f>
        <v>437.26274133741532</v>
      </c>
      <c r="I103" s="35">
        <f>IF(A103="","",MAX(0,C103-H103))</f>
        <v>161940.86770725684</v>
      </c>
      <c r="J103" s="35">
        <f>IF(A103="","",D103+H103)</f>
        <v>843.20806745890093</v>
      </c>
    </row>
    <row r="104" spans="1:10" ht="15" customHeight="1">
      <c r="A104" s="32">
        <f>IF(99&lt;=Datos!$B$13,99,"")</f>
        <v>99</v>
      </c>
      <c r="B104" s="44">
        <f>IF(A104="","",EDATE(Datos!$B$19,A104-1))</f>
        <v>49249</v>
      </c>
      <c r="C104" s="35">
        <f>IF(A104="","",I103)</f>
        <v>161940.86770725684</v>
      </c>
      <c r="D104" s="35">
        <f>IF(A104="","",C104*Datos!$B$17/Datos!$B$12)</f>
        <v>404.85216926814206</v>
      </c>
      <c r="E104" s="35">
        <f>IF(A104="","",MIN(Datos!$B$20,C104+D104))</f>
        <v>843.20806745890093</v>
      </c>
      <c r="F104" s="35">
        <f>IF(A104="","",MAX(0,E104-D104))</f>
        <v>438.35589819075886</v>
      </c>
      <c r="G104" s="36">
        <v>0</v>
      </c>
      <c r="H104" s="35">
        <f>IF(A104="","",MIN(C104,F104+G104))</f>
        <v>438.35589819075886</v>
      </c>
      <c r="I104" s="35">
        <f>IF(A104="","",MAX(0,C104-H104))</f>
        <v>161502.51180906608</v>
      </c>
      <c r="J104" s="35">
        <f>IF(A104="","",D104+H104)</f>
        <v>843.20806745890093</v>
      </c>
    </row>
    <row r="105" spans="1:10" ht="15" customHeight="1">
      <c r="A105" s="32">
        <f>IF(100&lt;=Datos!$B$13,100,"")</f>
        <v>100</v>
      </c>
      <c r="B105" s="44">
        <f>IF(A105="","",EDATE(Datos!$B$19,A105-1))</f>
        <v>49279</v>
      </c>
      <c r="C105" s="35">
        <f>IF(A105="","",I104)</f>
        <v>161502.51180906608</v>
      </c>
      <c r="D105" s="35">
        <f>IF(A105="","",C105*Datos!$B$17/Datos!$B$12)</f>
        <v>403.75627952266518</v>
      </c>
      <c r="E105" s="35">
        <f>IF(A105="","",MIN(Datos!$B$20,C105+D105))</f>
        <v>843.20806745890093</v>
      </c>
      <c r="F105" s="35">
        <f>IF(A105="","",MAX(0,E105-D105))</f>
        <v>439.45178793623575</v>
      </c>
      <c r="G105" s="36">
        <v>0</v>
      </c>
      <c r="H105" s="35">
        <f>IF(A105="","",MIN(C105,F105+G105))</f>
        <v>439.45178793623575</v>
      </c>
      <c r="I105" s="35">
        <f>IF(A105="","",MAX(0,C105-H105))</f>
        <v>161063.06002112984</v>
      </c>
      <c r="J105" s="35">
        <f>IF(A105="","",D105+H105)</f>
        <v>843.20806745890093</v>
      </c>
    </row>
    <row r="106" spans="1:10" ht="15" customHeight="1">
      <c r="A106" s="32">
        <f>IF(101&lt;=Datos!$B$13,101,"")</f>
        <v>101</v>
      </c>
      <c r="B106" s="44">
        <f>IF(A106="","",EDATE(Datos!$B$19,A106-1))</f>
        <v>49310</v>
      </c>
      <c r="C106" s="35">
        <f>IF(A106="","",I105)</f>
        <v>161063.06002112984</v>
      </c>
      <c r="D106" s="35">
        <f>IF(A106="","",C106*Datos!$B$17/Datos!$B$12)</f>
        <v>402.65765005282464</v>
      </c>
      <c r="E106" s="35">
        <f>IF(A106="","",MIN(Datos!$B$20,C106+D106))</f>
        <v>843.20806745890093</v>
      </c>
      <c r="F106" s="35">
        <f>IF(A106="","",MAX(0,E106-D106))</f>
        <v>440.55041740607629</v>
      </c>
      <c r="G106" s="36">
        <v>0</v>
      </c>
      <c r="H106" s="35">
        <f>IF(A106="","",MIN(C106,F106+G106))</f>
        <v>440.55041740607629</v>
      </c>
      <c r="I106" s="35">
        <f>IF(A106="","",MAX(0,C106-H106))</f>
        <v>160622.50960372377</v>
      </c>
      <c r="J106" s="35">
        <f>IF(A106="","",D106+H106)</f>
        <v>843.20806745890093</v>
      </c>
    </row>
    <row r="107" spans="1:10" ht="15" customHeight="1">
      <c r="A107" s="32">
        <f>IF(102&lt;=Datos!$B$13,102,"")</f>
        <v>102</v>
      </c>
      <c r="B107" s="44">
        <f>IF(A107="","",EDATE(Datos!$B$19,A107-1))</f>
        <v>49341</v>
      </c>
      <c r="C107" s="35">
        <f>IF(A107="","",I106)</f>
        <v>160622.50960372377</v>
      </c>
      <c r="D107" s="35">
        <f>IF(A107="","",C107*Datos!$B$17/Datos!$B$12)</f>
        <v>401.55627400930939</v>
      </c>
      <c r="E107" s="35">
        <f>IF(A107="","",MIN(Datos!$B$20,C107+D107))</f>
        <v>843.20806745890093</v>
      </c>
      <c r="F107" s="35">
        <f>IF(A107="","",MAX(0,E107-D107))</f>
        <v>441.65179344959154</v>
      </c>
      <c r="G107" s="36">
        <v>0</v>
      </c>
      <c r="H107" s="35">
        <f>IF(A107="","",MIN(C107,F107+G107))</f>
        <v>441.65179344959154</v>
      </c>
      <c r="I107" s="35">
        <f>IF(A107="","",MAX(0,C107-H107))</f>
        <v>160180.85781027417</v>
      </c>
      <c r="J107" s="35">
        <f>IF(A107="","",D107+H107)</f>
        <v>843.20806745890093</v>
      </c>
    </row>
    <row r="108" spans="1:10" ht="15" customHeight="1">
      <c r="A108" s="32">
        <f>IF(103&lt;=Datos!$B$13,103,"")</f>
        <v>103</v>
      </c>
      <c r="B108" s="44">
        <f>IF(A108="","",EDATE(Datos!$B$19,A108-1))</f>
        <v>49369</v>
      </c>
      <c r="C108" s="35">
        <f>IF(A108="","",I107)</f>
        <v>160180.85781027417</v>
      </c>
      <c r="D108" s="35">
        <f>IF(A108="","",C108*Datos!$B$17/Datos!$B$12)</f>
        <v>400.45214452568547</v>
      </c>
      <c r="E108" s="35">
        <f>IF(A108="","",MIN(Datos!$B$20,C108+D108))</f>
        <v>843.20806745890093</v>
      </c>
      <c r="F108" s="35">
        <f>IF(A108="","",MAX(0,E108-D108))</f>
        <v>442.75592293321546</v>
      </c>
      <c r="G108" s="36">
        <v>0</v>
      </c>
      <c r="H108" s="35">
        <f>IF(A108="","",MIN(C108,F108+G108))</f>
        <v>442.75592293321546</v>
      </c>
      <c r="I108" s="35">
        <f>IF(A108="","",MAX(0,C108-H108))</f>
        <v>159738.10188734095</v>
      </c>
      <c r="J108" s="35">
        <f>IF(A108="","",D108+H108)</f>
        <v>843.20806745890093</v>
      </c>
    </row>
    <row r="109" spans="1:10" ht="15" customHeight="1">
      <c r="A109" s="32">
        <f>IF(104&lt;=Datos!$B$13,104,"")</f>
        <v>104</v>
      </c>
      <c r="B109" s="44">
        <f>IF(A109="","",EDATE(Datos!$B$19,A109-1))</f>
        <v>49400</v>
      </c>
      <c r="C109" s="35">
        <f>IF(A109="","",I108)</f>
        <v>159738.10188734095</v>
      </c>
      <c r="D109" s="35">
        <f>IF(A109="","",C109*Datos!$B$17/Datos!$B$12)</f>
        <v>399.34525471835235</v>
      </c>
      <c r="E109" s="35">
        <f>IF(A109="","",MIN(Datos!$B$20,C109+D109))</f>
        <v>843.20806745890093</v>
      </c>
      <c r="F109" s="35">
        <f>IF(A109="","",MAX(0,E109-D109))</f>
        <v>443.86281274054858</v>
      </c>
      <c r="G109" s="36">
        <v>0</v>
      </c>
      <c r="H109" s="35">
        <f>IF(A109="","",MIN(C109,F109+G109))</f>
        <v>443.86281274054858</v>
      </c>
      <c r="I109" s="35">
        <f>IF(A109="","",MAX(0,C109-H109))</f>
        <v>159294.23907460039</v>
      </c>
      <c r="J109" s="35">
        <f>IF(A109="","",D109+H109)</f>
        <v>843.20806745890093</v>
      </c>
    </row>
    <row r="110" spans="1:10" ht="15" customHeight="1">
      <c r="A110" s="32">
        <f>IF(105&lt;=Datos!$B$13,105,"")</f>
        <v>105</v>
      </c>
      <c r="B110" s="44">
        <f>IF(A110="","",EDATE(Datos!$B$19,A110-1))</f>
        <v>49430</v>
      </c>
      <c r="C110" s="35">
        <f>IF(A110="","",I109)</f>
        <v>159294.23907460039</v>
      </c>
      <c r="D110" s="35">
        <f>IF(A110="","",C110*Datos!$B$17/Datos!$B$12)</f>
        <v>398.23559768650097</v>
      </c>
      <c r="E110" s="35">
        <f>IF(A110="","",MIN(Datos!$B$20,C110+D110))</f>
        <v>843.20806745890093</v>
      </c>
      <c r="F110" s="35">
        <f>IF(A110="","",MAX(0,E110-D110))</f>
        <v>444.97246977239996</v>
      </c>
      <c r="G110" s="36">
        <v>0</v>
      </c>
      <c r="H110" s="35">
        <f>IF(A110="","",MIN(C110,F110+G110))</f>
        <v>444.97246977239996</v>
      </c>
      <c r="I110" s="35">
        <f>IF(A110="","",MAX(0,C110-H110))</f>
        <v>158849.26660482801</v>
      </c>
      <c r="J110" s="35">
        <f>IF(A110="","",D110+H110)</f>
        <v>843.20806745890093</v>
      </c>
    </row>
    <row r="111" spans="1:10" ht="15" customHeight="1">
      <c r="A111" s="32">
        <f>IF(106&lt;=Datos!$B$13,106,"")</f>
        <v>106</v>
      </c>
      <c r="B111" s="44">
        <f>IF(A111="","",EDATE(Datos!$B$19,A111-1))</f>
        <v>49461</v>
      </c>
      <c r="C111" s="35">
        <f>IF(A111="","",I110)</f>
        <v>158849.26660482801</v>
      </c>
      <c r="D111" s="35">
        <f>IF(A111="","",C111*Datos!$B$17/Datos!$B$12)</f>
        <v>397.12316651206999</v>
      </c>
      <c r="E111" s="35">
        <f>IF(A111="","",MIN(Datos!$B$20,C111+D111))</f>
        <v>843.20806745890093</v>
      </c>
      <c r="F111" s="35">
        <f>IF(A111="","",MAX(0,E111-D111))</f>
        <v>446.08490094683094</v>
      </c>
      <c r="G111" s="36">
        <v>0</v>
      </c>
      <c r="H111" s="35">
        <f>IF(A111="","",MIN(C111,F111+G111))</f>
        <v>446.08490094683094</v>
      </c>
      <c r="I111" s="35">
        <f>IF(A111="","",MAX(0,C111-H111))</f>
        <v>158403.18170388119</v>
      </c>
      <c r="J111" s="35">
        <f>IF(A111="","",D111+H111)</f>
        <v>843.20806745890093</v>
      </c>
    </row>
    <row r="112" spans="1:10" ht="15" customHeight="1">
      <c r="A112" s="32">
        <f>IF(107&lt;=Datos!$B$13,107,"")</f>
        <v>107</v>
      </c>
      <c r="B112" s="44">
        <f>IF(A112="","",EDATE(Datos!$B$19,A112-1))</f>
        <v>49491</v>
      </c>
      <c r="C112" s="35">
        <f>IF(A112="","",I111)</f>
        <v>158403.18170388119</v>
      </c>
      <c r="D112" s="35">
        <f>IF(A112="","",C112*Datos!$B$17/Datos!$B$12)</f>
        <v>396.00795425970296</v>
      </c>
      <c r="E112" s="35">
        <f>IF(A112="","",MIN(Datos!$B$20,C112+D112))</f>
        <v>843.20806745890093</v>
      </c>
      <c r="F112" s="35">
        <f>IF(A112="","",MAX(0,E112-D112))</f>
        <v>447.20011319919797</v>
      </c>
      <c r="G112" s="36">
        <v>0</v>
      </c>
      <c r="H112" s="35">
        <f>IF(A112="","",MIN(C112,F112+G112))</f>
        <v>447.20011319919797</v>
      </c>
      <c r="I112" s="35">
        <f>IF(A112="","",MAX(0,C112-H112))</f>
        <v>157955.981590682</v>
      </c>
      <c r="J112" s="35">
        <f>IF(A112="","",D112+H112)</f>
        <v>843.20806745890093</v>
      </c>
    </row>
    <row r="113" spans="1:10" ht="15" customHeight="1">
      <c r="A113" s="32">
        <f>IF(108&lt;=Datos!$B$13,108,"")</f>
        <v>108</v>
      </c>
      <c r="B113" s="44">
        <f>IF(A113="","",EDATE(Datos!$B$19,A113-1))</f>
        <v>49522</v>
      </c>
      <c r="C113" s="35">
        <f>IF(A113="","",I112)</f>
        <v>157955.981590682</v>
      </c>
      <c r="D113" s="35">
        <f>IF(A113="","",C113*Datos!$B$17/Datos!$B$12)</f>
        <v>394.88995397670493</v>
      </c>
      <c r="E113" s="35">
        <f>IF(A113="","",MIN(Datos!$B$20,C113+D113))</f>
        <v>843.20806745890093</v>
      </c>
      <c r="F113" s="35">
        <f>IF(A113="","",MAX(0,E113-D113))</f>
        <v>448.318113482196</v>
      </c>
      <c r="G113" s="36">
        <v>0</v>
      </c>
      <c r="H113" s="35">
        <f>IF(A113="","",MIN(C113,F113+G113))</f>
        <v>448.318113482196</v>
      </c>
      <c r="I113" s="35">
        <f>IF(A113="","",MAX(0,C113-H113))</f>
        <v>157507.66347719979</v>
      </c>
      <c r="J113" s="35">
        <f>IF(A113="","",D113+H113)</f>
        <v>843.20806745890093</v>
      </c>
    </row>
    <row r="114" spans="1:10" ht="15" customHeight="1">
      <c r="A114" s="32">
        <f>IF(109&lt;=Datos!$B$13,109,"")</f>
        <v>109</v>
      </c>
      <c r="B114" s="44">
        <f>IF(A114="","",EDATE(Datos!$B$19,A114-1))</f>
        <v>49553</v>
      </c>
      <c r="C114" s="35">
        <f>IF(A114="","",I113)</f>
        <v>157507.66347719979</v>
      </c>
      <c r="D114" s="35">
        <f>IF(A114="","",C114*Datos!$B$17/Datos!$B$12)</f>
        <v>393.7691586929995</v>
      </c>
      <c r="E114" s="35">
        <f>IF(A114="","",MIN(Datos!$B$20,C114+D114))</f>
        <v>843.20806745890093</v>
      </c>
      <c r="F114" s="35">
        <f>IF(A114="","",MAX(0,E114-D114))</f>
        <v>449.43890876590143</v>
      </c>
      <c r="G114" s="36">
        <v>0</v>
      </c>
      <c r="H114" s="35">
        <f>IF(A114="","",MIN(C114,F114+G114))</f>
        <v>449.43890876590143</v>
      </c>
      <c r="I114" s="35">
        <f>IF(A114="","",MAX(0,C114-H114))</f>
        <v>157058.22456843388</v>
      </c>
      <c r="J114" s="35">
        <f>IF(A114="","",D114+H114)</f>
        <v>843.20806745890093</v>
      </c>
    </row>
    <row r="115" spans="1:10" ht="15" customHeight="1">
      <c r="A115" s="32">
        <f>IF(110&lt;=Datos!$B$13,110,"")</f>
        <v>110</v>
      </c>
      <c r="B115" s="44">
        <f>IF(A115="","",EDATE(Datos!$B$19,A115-1))</f>
        <v>49583</v>
      </c>
      <c r="C115" s="35">
        <f>IF(A115="","",I114)</f>
        <v>157058.22456843388</v>
      </c>
      <c r="D115" s="35">
        <f>IF(A115="","",C115*Datos!$B$17/Datos!$B$12)</f>
        <v>392.64556142108472</v>
      </c>
      <c r="E115" s="35">
        <f>IF(A115="","",MIN(Datos!$B$20,C115+D115))</f>
        <v>843.20806745890093</v>
      </c>
      <c r="F115" s="35">
        <f>IF(A115="","",MAX(0,E115-D115))</f>
        <v>450.56250603781621</v>
      </c>
      <c r="G115" s="36">
        <v>0</v>
      </c>
      <c r="H115" s="35">
        <f>IF(A115="","",MIN(C115,F115+G115))</f>
        <v>450.56250603781621</v>
      </c>
      <c r="I115" s="35">
        <f>IF(A115="","",MAX(0,C115-H115))</f>
        <v>156607.66206239606</v>
      </c>
      <c r="J115" s="35">
        <f>IF(A115="","",D115+H115)</f>
        <v>843.20806745890093</v>
      </c>
    </row>
    <row r="116" spans="1:10" ht="15" customHeight="1">
      <c r="A116" s="32">
        <f>IF(111&lt;=Datos!$B$13,111,"")</f>
        <v>111</v>
      </c>
      <c r="B116" s="44">
        <f>IF(A116="","",EDATE(Datos!$B$19,A116-1))</f>
        <v>49614</v>
      </c>
      <c r="C116" s="35">
        <f>IF(A116="","",I115)</f>
        <v>156607.66206239606</v>
      </c>
      <c r="D116" s="35">
        <f>IF(A116="","",C116*Datos!$B$17/Datos!$B$12)</f>
        <v>391.51915515599012</v>
      </c>
      <c r="E116" s="35">
        <f>IF(A116="","",MIN(Datos!$B$20,C116+D116))</f>
        <v>843.20806745890093</v>
      </c>
      <c r="F116" s="35">
        <f>IF(A116="","",MAX(0,E116-D116))</f>
        <v>451.68891230291081</v>
      </c>
      <c r="G116" s="36">
        <v>0</v>
      </c>
      <c r="H116" s="35">
        <f>IF(A116="","",MIN(C116,F116+G116))</f>
        <v>451.68891230291081</v>
      </c>
      <c r="I116" s="35">
        <f>IF(A116="","",MAX(0,C116-H116))</f>
        <v>156155.97315009314</v>
      </c>
      <c r="J116" s="35">
        <f>IF(A116="","",D116+H116)</f>
        <v>843.20806745890093</v>
      </c>
    </row>
    <row r="117" spans="1:10" ht="15" customHeight="1">
      <c r="A117" s="32">
        <f>IF(112&lt;=Datos!$B$13,112,"")</f>
        <v>112</v>
      </c>
      <c r="B117" s="44">
        <f>IF(A117="","",EDATE(Datos!$B$19,A117-1))</f>
        <v>49644</v>
      </c>
      <c r="C117" s="35">
        <f>IF(A117="","",I116)</f>
        <v>156155.97315009314</v>
      </c>
      <c r="D117" s="35">
        <f>IF(A117="","",C117*Datos!$B$17/Datos!$B$12)</f>
        <v>390.38993287523277</v>
      </c>
      <c r="E117" s="35">
        <f>IF(A117="","",MIN(Datos!$B$20,C117+D117))</f>
        <v>843.20806745890093</v>
      </c>
      <c r="F117" s="35">
        <f>IF(A117="","",MAX(0,E117-D117))</f>
        <v>452.81813458366815</v>
      </c>
      <c r="G117" s="36">
        <v>0</v>
      </c>
      <c r="H117" s="35">
        <f>IF(A117="","",MIN(C117,F117+G117))</f>
        <v>452.81813458366815</v>
      </c>
      <c r="I117" s="35">
        <f>IF(A117="","",MAX(0,C117-H117))</f>
        <v>155703.15501550946</v>
      </c>
      <c r="J117" s="35">
        <f>IF(A117="","",D117+H117)</f>
        <v>843.20806745890093</v>
      </c>
    </row>
    <row r="118" spans="1:10" ht="15" customHeight="1">
      <c r="A118" s="32">
        <f>IF(113&lt;=Datos!$B$13,113,"")</f>
        <v>113</v>
      </c>
      <c r="B118" s="44">
        <f>IF(A118="","",EDATE(Datos!$B$19,A118-1))</f>
        <v>49675</v>
      </c>
      <c r="C118" s="35">
        <f>IF(A118="","",I117)</f>
        <v>155703.15501550946</v>
      </c>
      <c r="D118" s="35">
        <f>IF(A118="","",C118*Datos!$B$17/Datos!$B$12)</f>
        <v>389.25788753877367</v>
      </c>
      <c r="E118" s="35">
        <f>IF(A118="","",MIN(Datos!$B$20,C118+D118))</f>
        <v>843.20806745890093</v>
      </c>
      <c r="F118" s="35">
        <f>IF(A118="","",MAX(0,E118-D118))</f>
        <v>453.95017992012725</v>
      </c>
      <c r="G118" s="36">
        <v>0</v>
      </c>
      <c r="H118" s="35">
        <f>IF(A118="","",MIN(C118,F118+G118))</f>
        <v>453.95017992012725</v>
      </c>
      <c r="I118" s="35">
        <f>IF(A118="","",MAX(0,C118-H118))</f>
        <v>155249.20483558933</v>
      </c>
      <c r="J118" s="35">
        <f>IF(A118="","",D118+H118)</f>
        <v>843.20806745890093</v>
      </c>
    </row>
    <row r="119" spans="1:10" ht="15" customHeight="1">
      <c r="A119" s="32">
        <f>IF(114&lt;=Datos!$B$13,114,"")</f>
        <v>114</v>
      </c>
      <c r="B119" s="44">
        <f>IF(A119="","",EDATE(Datos!$B$19,A119-1))</f>
        <v>49706</v>
      </c>
      <c r="C119" s="35">
        <f>IF(A119="","",I118)</f>
        <v>155249.20483558933</v>
      </c>
      <c r="D119" s="35">
        <f>IF(A119="","",C119*Datos!$B$17/Datos!$B$12)</f>
        <v>388.12301208897333</v>
      </c>
      <c r="E119" s="35">
        <f>IF(A119="","",MIN(Datos!$B$20,C119+D119))</f>
        <v>843.20806745890093</v>
      </c>
      <c r="F119" s="35">
        <f>IF(A119="","",MAX(0,E119-D119))</f>
        <v>455.0850553699276</v>
      </c>
      <c r="G119" s="36">
        <v>0</v>
      </c>
      <c r="H119" s="35">
        <f>IF(A119="","",MIN(C119,F119+G119))</f>
        <v>455.0850553699276</v>
      </c>
      <c r="I119" s="35">
        <f>IF(A119="","",MAX(0,C119-H119))</f>
        <v>154794.11978021939</v>
      </c>
      <c r="J119" s="35">
        <f>IF(A119="","",D119+H119)</f>
        <v>843.20806745890093</v>
      </c>
    </row>
    <row r="120" spans="1:10" ht="15" customHeight="1">
      <c r="A120" s="32">
        <f>IF(115&lt;=Datos!$B$13,115,"")</f>
        <v>115</v>
      </c>
      <c r="B120" s="44">
        <f>IF(A120="","",EDATE(Datos!$B$19,A120-1))</f>
        <v>49735</v>
      </c>
      <c r="C120" s="35">
        <f>IF(A120="","",I119)</f>
        <v>154794.11978021939</v>
      </c>
      <c r="D120" s="35">
        <f>IF(A120="","",C120*Datos!$B$17/Datos!$B$12)</f>
        <v>386.98529945054844</v>
      </c>
      <c r="E120" s="35">
        <f>IF(A120="","",MIN(Datos!$B$20,C120+D120))</f>
        <v>843.20806745890093</v>
      </c>
      <c r="F120" s="35">
        <f>IF(A120="","",MAX(0,E120-D120))</f>
        <v>456.22276800835249</v>
      </c>
      <c r="G120" s="36">
        <v>0</v>
      </c>
      <c r="H120" s="35">
        <f>IF(A120="","",MIN(C120,F120+G120))</f>
        <v>456.22276800835249</v>
      </c>
      <c r="I120" s="35">
        <f>IF(A120="","",MAX(0,C120-H120))</f>
        <v>154337.89701221103</v>
      </c>
      <c r="J120" s="35">
        <f>IF(A120="","",D120+H120)</f>
        <v>843.20806745890093</v>
      </c>
    </row>
    <row r="121" spans="1:10" ht="15" customHeight="1">
      <c r="A121" s="32">
        <f>IF(116&lt;=Datos!$B$13,116,"")</f>
        <v>116</v>
      </c>
      <c r="B121" s="44">
        <f>IF(A121="","",EDATE(Datos!$B$19,A121-1))</f>
        <v>49766</v>
      </c>
      <c r="C121" s="35">
        <f>IF(A121="","",I120)</f>
        <v>154337.89701221103</v>
      </c>
      <c r="D121" s="35">
        <f>IF(A121="","",C121*Datos!$B$17/Datos!$B$12)</f>
        <v>385.84474253052758</v>
      </c>
      <c r="E121" s="35">
        <f>IF(A121="","",MIN(Datos!$B$20,C121+D121))</f>
        <v>843.20806745890093</v>
      </c>
      <c r="F121" s="35">
        <f>IF(A121="","",MAX(0,E121-D121))</f>
        <v>457.36332492837334</v>
      </c>
      <c r="G121" s="36">
        <v>0</v>
      </c>
      <c r="H121" s="35">
        <f>IF(A121="","",MIN(C121,F121+G121))</f>
        <v>457.36332492837334</v>
      </c>
      <c r="I121" s="35">
        <f>IF(A121="","",MAX(0,C121-H121))</f>
        <v>153880.53368728267</v>
      </c>
      <c r="J121" s="35">
        <f>IF(A121="","",D121+H121)</f>
        <v>843.20806745890093</v>
      </c>
    </row>
    <row r="122" spans="1:10" ht="15" customHeight="1">
      <c r="A122" s="32">
        <f>IF(117&lt;=Datos!$B$13,117,"")</f>
        <v>117</v>
      </c>
      <c r="B122" s="44">
        <f>IF(A122="","",EDATE(Datos!$B$19,A122-1))</f>
        <v>49796</v>
      </c>
      <c r="C122" s="35">
        <f>IF(A122="","",I121)</f>
        <v>153880.53368728267</v>
      </c>
      <c r="D122" s="35">
        <f>IF(A122="","",C122*Datos!$B$17/Datos!$B$12)</f>
        <v>384.70133421820668</v>
      </c>
      <c r="E122" s="35">
        <f>IF(A122="","",MIN(Datos!$B$20,C122+D122))</f>
        <v>843.20806745890093</v>
      </c>
      <c r="F122" s="35">
        <f>IF(A122="","",MAX(0,E122-D122))</f>
        <v>458.50673324069425</v>
      </c>
      <c r="G122" s="36">
        <v>0</v>
      </c>
      <c r="H122" s="35">
        <f>IF(A122="","",MIN(C122,F122+G122))</f>
        <v>458.50673324069425</v>
      </c>
      <c r="I122" s="35">
        <f>IF(A122="","",MAX(0,C122-H122))</f>
        <v>153422.02695404197</v>
      </c>
      <c r="J122" s="35">
        <f>IF(A122="","",D122+H122)</f>
        <v>843.20806745890093</v>
      </c>
    </row>
    <row r="123" spans="1:10" ht="15" customHeight="1">
      <c r="A123" s="32">
        <f>IF(118&lt;=Datos!$B$13,118,"")</f>
        <v>118</v>
      </c>
      <c r="B123" s="44">
        <f>IF(A123="","",EDATE(Datos!$B$19,A123-1))</f>
        <v>49827</v>
      </c>
      <c r="C123" s="35">
        <f>IF(A123="","",I122)</f>
        <v>153422.02695404197</v>
      </c>
      <c r="D123" s="35">
        <f>IF(A123="","",C123*Datos!$B$17/Datos!$B$12)</f>
        <v>383.55506738510491</v>
      </c>
      <c r="E123" s="35">
        <f>IF(A123="","",MIN(Datos!$B$20,C123+D123))</f>
        <v>843.20806745890093</v>
      </c>
      <c r="F123" s="35">
        <f>IF(A123="","",MAX(0,E123-D123))</f>
        <v>459.65300007379602</v>
      </c>
      <c r="G123" s="36">
        <v>0</v>
      </c>
      <c r="H123" s="35">
        <f>IF(A123="","",MIN(C123,F123+G123))</f>
        <v>459.65300007379602</v>
      </c>
      <c r="I123" s="35">
        <f>IF(A123="","",MAX(0,C123-H123))</f>
        <v>152962.37395396817</v>
      </c>
      <c r="J123" s="35">
        <f>IF(A123="","",D123+H123)</f>
        <v>843.20806745890093</v>
      </c>
    </row>
    <row r="124" spans="1:10" ht="15" customHeight="1">
      <c r="A124" s="32">
        <f>IF(119&lt;=Datos!$B$13,119,"")</f>
        <v>119</v>
      </c>
      <c r="B124" s="44">
        <f>IF(A124="","",EDATE(Datos!$B$19,A124-1))</f>
        <v>49857</v>
      </c>
      <c r="C124" s="35">
        <f>IF(A124="","",I123)</f>
        <v>152962.37395396817</v>
      </c>
      <c r="D124" s="35">
        <f>IF(A124="","",C124*Datos!$B$17/Datos!$B$12)</f>
        <v>382.40593488492044</v>
      </c>
      <c r="E124" s="35">
        <f>IF(A124="","",MIN(Datos!$B$20,C124+D124))</f>
        <v>843.20806745890093</v>
      </c>
      <c r="F124" s="35">
        <f>IF(A124="","",MAX(0,E124-D124))</f>
        <v>460.80213257398049</v>
      </c>
      <c r="G124" s="36">
        <v>0</v>
      </c>
      <c r="H124" s="35">
        <f>IF(A124="","",MIN(C124,F124+G124))</f>
        <v>460.80213257398049</v>
      </c>
      <c r="I124" s="35">
        <f>IF(A124="","",MAX(0,C124-H124))</f>
        <v>152501.5718213942</v>
      </c>
      <c r="J124" s="35">
        <f>IF(A124="","",D124+H124)</f>
        <v>843.20806745890093</v>
      </c>
    </row>
    <row r="125" spans="1:10" ht="15" customHeight="1">
      <c r="A125" s="32">
        <f>IF(120&lt;=Datos!$B$13,120,"")</f>
        <v>120</v>
      </c>
      <c r="B125" s="44">
        <f>IF(A125="","",EDATE(Datos!$B$19,A125-1))</f>
        <v>49888</v>
      </c>
      <c r="C125" s="35">
        <f>IF(A125="","",I124)</f>
        <v>152501.5718213942</v>
      </c>
      <c r="D125" s="35">
        <f>IF(A125="","",C125*Datos!$B$17/Datos!$B$12)</f>
        <v>381.25392955348548</v>
      </c>
      <c r="E125" s="35">
        <f>IF(A125="","",MIN(Datos!$B$20,C125+D125))</f>
        <v>843.20806745890093</v>
      </c>
      <c r="F125" s="35">
        <f>IF(A125="","",MAX(0,E125-D125))</f>
        <v>461.95413790541545</v>
      </c>
      <c r="G125" s="36">
        <v>0</v>
      </c>
      <c r="H125" s="35">
        <f>IF(A125="","",MIN(C125,F125+G125))</f>
        <v>461.95413790541545</v>
      </c>
      <c r="I125" s="35">
        <f>IF(A125="","",MAX(0,C125-H125))</f>
        <v>152039.61768348879</v>
      </c>
      <c r="J125" s="35">
        <f>IF(A125="","",D125+H125)</f>
        <v>843.20806745890093</v>
      </c>
    </row>
    <row r="126" spans="1:10" ht="15" customHeight="1">
      <c r="A126" s="32">
        <f>IF(121&lt;=Datos!$B$13,121,"")</f>
        <v>121</v>
      </c>
      <c r="B126" s="44">
        <f>IF(A126="","",EDATE(Datos!$B$19,A126-1))</f>
        <v>49919</v>
      </c>
      <c r="C126" s="35">
        <f>IF(A126="","",I125)</f>
        <v>152039.61768348879</v>
      </c>
      <c r="D126" s="35">
        <f>IF(A126="","",C126*Datos!$B$17/Datos!$B$12)</f>
        <v>380.09904420872198</v>
      </c>
      <c r="E126" s="35">
        <f>IF(A126="","",MIN(Datos!$B$20,C126+D126))</f>
        <v>843.20806745890093</v>
      </c>
      <c r="F126" s="35">
        <f>IF(A126="","",MAX(0,E126-D126))</f>
        <v>463.10902325017895</v>
      </c>
      <c r="G126" s="36">
        <v>0</v>
      </c>
      <c r="H126" s="35">
        <f>IF(A126="","",MIN(C126,F126+G126))</f>
        <v>463.10902325017895</v>
      </c>
      <c r="I126" s="35">
        <f>IF(A126="","",MAX(0,C126-H126))</f>
        <v>151576.50866023861</v>
      </c>
      <c r="J126" s="35">
        <f>IF(A126="","",D126+H126)</f>
        <v>843.20806745890093</v>
      </c>
    </row>
    <row r="127" spans="1:10" ht="15" customHeight="1">
      <c r="A127" s="32">
        <f>IF(122&lt;=Datos!$B$13,122,"")</f>
        <v>122</v>
      </c>
      <c r="B127" s="44">
        <f>IF(A127="","",EDATE(Datos!$B$19,A127-1))</f>
        <v>49949</v>
      </c>
      <c r="C127" s="35">
        <f>IF(A127="","",I126)</f>
        <v>151576.50866023861</v>
      </c>
      <c r="D127" s="35">
        <f>IF(A127="","",C127*Datos!$B$17/Datos!$B$12)</f>
        <v>378.94127165059649</v>
      </c>
      <c r="E127" s="35">
        <f>IF(A127="","",MIN(Datos!$B$20,C127+D127))</f>
        <v>843.20806745890093</v>
      </c>
      <c r="F127" s="35">
        <f>IF(A127="","",MAX(0,E127-D127))</f>
        <v>464.26679580830444</v>
      </c>
      <c r="G127" s="36">
        <v>0</v>
      </c>
      <c r="H127" s="35">
        <f>IF(A127="","",MIN(C127,F127+G127))</f>
        <v>464.26679580830444</v>
      </c>
      <c r="I127" s="35">
        <f>IF(A127="","",MAX(0,C127-H127))</f>
        <v>151112.24186443031</v>
      </c>
      <c r="J127" s="35">
        <f>IF(A127="","",D127+H127)</f>
        <v>843.20806745890093</v>
      </c>
    </row>
    <row r="128" spans="1:10" ht="15" customHeight="1">
      <c r="A128" s="32">
        <f>IF(123&lt;=Datos!$B$13,123,"")</f>
        <v>123</v>
      </c>
      <c r="B128" s="44">
        <f>IF(A128="","",EDATE(Datos!$B$19,A128-1))</f>
        <v>49980</v>
      </c>
      <c r="C128" s="35">
        <f>IF(A128="","",I127)</f>
        <v>151112.24186443031</v>
      </c>
      <c r="D128" s="35">
        <f>IF(A128="","",C128*Datos!$B$17/Datos!$B$12)</f>
        <v>377.78060466107576</v>
      </c>
      <c r="E128" s="35">
        <f>IF(A128="","",MIN(Datos!$B$20,C128+D128))</f>
        <v>843.20806745890093</v>
      </c>
      <c r="F128" s="35">
        <f>IF(A128="","",MAX(0,E128-D128))</f>
        <v>465.42746279782517</v>
      </c>
      <c r="G128" s="36">
        <v>0</v>
      </c>
      <c r="H128" s="35">
        <f>IF(A128="","",MIN(C128,F128+G128))</f>
        <v>465.42746279782517</v>
      </c>
      <c r="I128" s="35">
        <f>IF(A128="","",MAX(0,C128-H128))</f>
        <v>150646.81440163249</v>
      </c>
      <c r="J128" s="35">
        <f>IF(A128="","",D128+H128)</f>
        <v>843.20806745890093</v>
      </c>
    </row>
    <row r="129" spans="1:10" ht="15" customHeight="1">
      <c r="A129" s="32">
        <f>IF(124&lt;=Datos!$B$13,124,"")</f>
        <v>124</v>
      </c>
      <c r="B129" s="44">
        <f>IF(A129="","",EDATE(Datos!$B$19,A129-1))</f>
        <v>50010</v>
      </c>
      <c r="C129" s="35">
        <f>IF(A129="","",I128)</f>
        <v>150646.81440163249</v>
      </c>
      <c r="D129" s="35">
        <f>IF(A129="","",C129*Datos!$B$17/Datos!$B$12)</f>
        <v>376.61703600408123</v>
      </c>
      <c r="E129" s="35">
        <f>IF(A129="","",MIN(Datos!$B$20,C129+D129))</f>
        <v>843.20806745890093</v>
      </c>
      <c r="F129" s="35">
        <f>IF(A129="","",MAX(0,E129-D129))</f>
        <v>466.5910314548197</v>
      </c>
      <c r="G129" s="36">
        <v>0</v>
      </c>
      <c r="H129" s="35">
        <f>IF(A129="","",MIN(C129,F129+G129))</f>
        <v>466.5910314548197</v>
      </c>
      <c r="I129" s="35">
        <f>IF(A129="","",MAX(0,C129-H129))</f>
        <v>150180.22337017767</v>
      </c>
      <c r="J129" s="35">
        <f>IF(A129="","",D129+H129)</f>
        <v>843.20806745890093</v>
      </c>
    </row>
    <row r="130" spans="1:10" ht="15" customHeight="1">
      <c r="A130" s="32">
        <f>IF(125&lt;=Datos!$B$13,125,"")</f>
        <v>125</v>
      </c>
      <c r="B130" s="44">
        <f>IF(A130="","",EDATE(Datos!$B$19,A130-1))</f>
        <v>50041</v>
      </c>
      <c r="C130" s="35">
        <f>IF(A130="","",I129)</f>
        <v>150180.22337017767</v>
      </c>
      <c r="D130" s="35">
        <f>IF(A130="","",C130*Datos!$B$17/Datos!$B$12)</f>
        <v>375.45055842544417</v>
      </c>
      <c r="E130" s="35">
        <f>IF(A130="","",MIN(Datos!$B$20,C130+D130))</f>
        <v>843.20806745890093</v>
      </c>
      <c r="F130" s="35">
        <f>IF(A130="","",MAX(0,E130-D130))</f>
        <v>467.75750903345676</v>
      </c>
      <c r="G130" s="36">
        <v>0</v>
      </c>
      <c r="H130" s="35">
        <f>IF(A130="","",MIN(C130,F130+G130))</f>
        <v>467.75750903345676</v>
      </c>
      <c r="I130" s="35">
        <f>IF(A130="","",MAX(0,C130-H130))</f>
        <v>149712.46586114421</v>
      </c>
      <c r="J130" s="35">
        <f>IF(A130="","",D130+H130)</f>
        <v>843.20806745890093</v>
      </c>
    </row>
    <row r="131" spans="1:10" ht="15" customHeight="1">
      <c r="A131" s="32">
        <f>IF(126&lt;=Datos!$B$13,126,"")</f>
        <v>126</v>
      </c>
      <c r="B131" s="44">
        <f>IF(A131="","",EDATE(Datos!$B$19,A131-1))</f>
        <v>50072</v>
      </c>
      <c r="C131" s="35">
        <f>IF(A131="","",I130)</f>
        <v>149712.46586114421</v>
      </c>
      <c r="D131" s="35">
        <f>IF(A131="","",C131*Datos!$B$17/Datos!$B$12)</f>
        <v>374.28116465286053</v>
      </c>
      <c r="E131" s="35">
        <f>IF(A131="","",MIN(Datos!$B$20,C131+D131))</f>
        <v>843.20806745890093</v>
      </c>
      <c r="F131" s="35">
        <f>IF(A131="","",MAX(0,E131-D131))</f>
        <v>468.9269028060404</v>
      </c>
      <c r="G131" s="36">
        <v>0</v>
      </c>
      <c r="H131" s="35">
        <f>IF(A131="","",MIN(C131,F131+G131))</f>
        <v>468.9269028060404</v>
      </c>
      <c r="I131" s="35">
        <f>IF(A131="","",MAX(0,C131-H131))</f>
        <v>149243.53895833818</v>
      </c>
      <c r="J131" s="35">
        <f>IF(A131="","",D131+H131)</f>
        <v>843.20806745890093</v>
      </c>
    </row>
    <row r="132" spans="1:10" ht="15" customHeight="1">
      <c r="A132" s="32">
        <f>IF(127&lt;=Datos!$B$13,127,"")</f>
        <v>127</v>
      </c>
      <c r="B132" s="44">
        <f>IF(A132="","",EDATE(Datos!$B$19,A132-1))</f>
        <v>50100</v>
      </c>
      <c r="C132" s="35">
        <f>IF(A132="","",I131)</f>
        <v>149243.53895833818</v>
      </c>
      <c r="D132" s="35">
        <f>IF(A132="","",C132*Datos!$B$17/Datos!$B$12)</f>
        <v>373.10884739584543</v>
      </c>
      <c r="E132" s="35">
        <f>IF(A132="","",MIN(Datos!$B$20,C132+D132))</f>
        <v>843.20806745890093</v>
      </c>
      <c r="F132" s="35">
        <f>IF(A132="","",MAX(0,E132-D132))</f>
        <v>470.0992200630555</v>
      </c>
      <c r="G132" s="36">
        <v>0</v>
      </c>
      <c r="H132" s="35">
        <f>IF(A132="","",MIN(C132,F132+G132))</f>
        <v>470.0992200630555</v>
      </c>
      <c r="I132" s="35">
        <f>IF(A132="","",MAX(0,C132-H132))</f>
        <v>148773.43973827513</v>
      </c>
      <c r="J132" s="35">
        <f>IF(A132="","",D132+H132)</f>
        <v>843.20806745890093</v>
      </c>
    </row>
    <row r="133" spans="1:10" ht="15" customHeight="1">
      <c r="A133" s="32">
        <f>IF(128&lt;=Datos!$B$13,128,"")</f>
        <v>128</v>
      </c>
      <c r="B133" s="44">
        <f>IF(A133="","",EDATE(Datos!$B$19,A133-1))</f>
        <v>50131</v>
      </c>
      <c r="C133" s="35">
        <f>IF(A133="","",I132)</f>
        <v>148773.43973827513</v>
      </c>
      <c r="D133" s="35">
        <f>IF(A133="","",C133*Datos!$B$17/Datos!$B$12)</f>
        <v>371.93359934568781</v>
      </c>
      <c r="E133" s="35">
        <f>IF(A133="","",MIN(Datos!$B$20,C133+D133))</f>
        <v>843.20806745890093</v>
      </c>
      <c r="F133" s="35">
        <f>IF(A133="","",MAX(0,E133-D133))</f>
        <v>471.27446811321312</v>
      </c>
      <c r="G133" s="36">
        <v>0</v>
      </c>
      <c r="H133" s="35">
        <f>IF(A133="","",MIN(C133,F133+G133))</f>
        <v>471.27446811321312</v>
      </c>
      <c r="I133" s="35">
        <f>IF(A133="","",MAX(0,C133-H133))</f>
        <v>148302.16527016193</v>
      </c>
      <c r="J133" s="35">
        <f>IF(A133="","",D133+H133)</f>
        <v>843.20806745890093</v>
      </c>
    </row>
    <row r="134" spans="1:10" ht="15" customHeight="1">
      <c r="A134" s="32">
        <f>IF(129&lt;=Datos!$B$13,129,"")</f>
        <v>129</v>
      </c>
      <c r="B134" s="44">
        <f>IF(A134="","",EDATE(Datos!$B$19,A134-1))</f>
        <v>50161</v>
      </c>
      <c r="C134" s="35">
        <f>IF(A134="","",I133)</f>
        <v>148302.16527016193</v>
      </c>
      <c r="D134" s="35">
        <f>IF(A134="","",C134*Datos!$B$17/Datos!$B$12)</f>
        <v>370.75541317540478</v>
      </c>
      <c r="E134" s="35">
        <f>IF(A134="","",MIN(Datos!$B$20,C134+D134))</f>
        <v>843.20806745890093</v>
      </c>
      <c r="F134" s="35">
        <f>IF(A134="","",MAX(0,E134-D134))</f>
        <v>472.45265428349614</v>
      </c>
      <c r="G134" s="36">
        <v>0</v>
      </c>
      <c r="H134" s="35">
        <f>IF(A134="","",MIN(C134,F134+G134))</f>
        <v>472.45265428349614</v>
      </c>
      <c r="I134" s="35">
        <f>IF(A134="","",MAX(0,C134-H134))</f>
        <v>147829.71261587844</v>
      </c>
      <c r="J134" s="35">
        <f>IF(A134="","",D134+H134)</f>
        <v>843.20806745890093</v>
      </c>
    </row>
    <row r="135" spans="1:10" ht="15" customHeight="1">
      <c r="A135" s="32">
        <f>IF(130&lt;=Datos!$B$13,130,"")</f>
        <v>130</v>
      </c>
      <c r="B135" s="44">
        <f>IF(A135="","",EDATE(Datos!$B$19,A135-1))</f>
        <v>50192</v>
      </c>
      <c r="C135" s="35">
        <f>IF(A135="","",I134)</f>
        <v>147829.71261587844</v>
      </c>
      <c r="D135" s="35">
        <f>IF(A135="","",C135*Datos!$B$17/Datos!$B$12)</f>
        <v>369.57428153969607</v>
      </c>
      <c r="E135" s="35">
        <f>IF(A135="","",MIN(Datos!$B$20,C135+D135))</f>
        <v>843.20806745890093</v>
      </c>
      <c r="F135" s="35">
        <f>IF(A135="","",MAX(0,E135-D135))</f>
        <v>473.63378591920485</v>
      </c>
      <c r="G135" s="36">
        <v>0</v>
      </c>
      <c r="H135" s="35">
        <f>IF(A135="","",MIN(C135,F135+G135))</f>
        <v>473.63378591920485</v>
      </c>
      <c r="I135" s="35">
        <f>IF(A135="","",MAX(0,C135-H135))</f>
        <v>147356.07882995924</v>
      </c>
      <c r="J135" s="35">
        <f>IF(A135="","",D135+H135)</f>
        <v>843.20806745890093</v>
      </c>
    </row>
    <row r="136" spans="1:10" ht="15" customHeight="1">
      <c r="A136" s="32">
        <f>IF(131&lt;=Datos!$B$13,131,"")</f>
        <v>131</v>
      </c>
      <c r="B136" s="44">
        <f>IF(A136="","",EDATE(Datos!$B$19,A136-1))</f>
        <v>50222</v>
      </c>
      <c r="C136" s="35">
        <f>IF(A136="","",I135)</f>
        <v>147356.07882995924</v>
      </c>
      <c r="D136" s="35">
        <f>IF(A136="","",C136*Datos!$B$17/Datos!$B$12)</f>
        <v>368.39019707489814</v>
      </c>
      <c r="E136" s="35">
        <f>IF(A136="","",MIN(Datos!$B$20,C136+D136))</f>
        <v>843.20806745890093</v>
      </c>
      <c r="F136" s="35">
        <f>IF(A136="","",MAX(0,E136-D136))</f>
        <v>474.81787038400279</v>
      </c>
      <c r="G136" s="36">
        <v>0</v>
      </c>
      <c r="H136" s="35">
        <f>IF(A136="","",MIN(C136,F136+G136))</f>
        <v>474.81787038400279</v>
      </c>
      <c r="I136" s="35">
        <f>IF(A136="","",MAX(0,C136-H136))</f>
        <v>146881.26095957524</v>
      </c>
      <c r="J136" s="35">
        <f>IF(A136="","",D136+H136)</f>
        <v>843.20806745890093</v>
      </c>
    </row>
    <row r="137" spans="1:10" ht="15" customHeight="1">
      <c r="A137" s="32">
        <f>IF(132&lt;=Datos!$B$13,132,"")</f>
        <v>132</v>
      </c>
      <c r="B137" s="44">
        <f>IF(A137="","",EDATE(Datos!$B$19,A137-1))</f>
        <v>50253</v>
      </c>
      <c r="C137" s="35">
        <f>IF(A137="","",I136)</f>
        <v>146881.26095957524</v>
      </c>
      <c r="D137" s="35">
        <f>IF(A137="","",C137*Datos!$B$17/Datos!$B$12)</f>
        <v>367.20315239893807</v>
      </c>
      <c r="E137" s="35">
        <f>IF(A137="","",MIN(Datos!$B$20,C137+D137))</f>
        <v>843.20806745890093</v>
      </c>
      <c r="F137" s="35">
        <f>IF(A137="","",MAX(0,E137-D137))</f>
        <v>476.00491505996285</v>
      </c>
      <c r="G137" s="36">
        <v>0</v>
      </c>
      <c r="H137" s="35">
        <f>IF(A137="","",MIN(C137,F137+G137))</f>
        <v>476.00491505996285</v>
      </c>
      <c r="I137" s="35">
        <f>IF(A137="","",MAX(0,C137-H137))</f>
        <v>146405.25604451529</v>
      </c>
      <c r="J137" s="35">
        <f>IF(A137="","",D137+H137)</f>
        <v>843.20806745890093</v>
      </c>
    </row>
    <row r="138" spans="1:10" ht="15" customHeight="1">
      <c r="A138" s="32">
        <f>IF(133&lt;=Datos!$B$13,133,"")</f>
        <v>133</v>
      </c>
      <c r="B138" s="44">
        <f>IF(A138="","",EDATE(Datos!$B$19,A138-1))</f>
        <v>50284</v>
      </c>
      <c r="C138" s="35">
        <f>IF(A138="","",I137)</f>
        <v>146405.25604451529</v>
      </c>
      <c r="D138" s="35">
        <f>IF(A138="","",C138*Datos!$B$17/Datos!$B$12)</f>
        <v>366.01314011128824</v>
      </c>
      <c r="E138" s="35">
        <f>IF(A138="","",MIN(Datos!$B$20,C138+D138))</f>
        <v>843.20806745890093</v>
      </c>
      <c r="F138" s="35">
        <f>IF(A138="","",MAX(0,E138-D138))</f>
        <v>477.19492734761269</v>
      </c>
      <c r="G138" s="36">
        <v>0</v>
      </c>
      <c r="H138" s="35">
        <f>IF(A138="","",MIN(C138,F138+G138))</f>
        <v>477.19492734761269</v>
      </c>
      <c r="I138" s="35">
        <f>IF(A138="","",MAX(0,C138-H138))</f>
        <v>145928.06111716767</v>
      </c>
      <c r="J138" s="35">
        <f>IF(A138="","",D138+H138)</f>
        <v>843.20806745890093</v>
      </c>
    </row>
    <row r="139" spans="1:10" ht="15" customHeight="1">
      <c r="A139" s="32">
        <f>IF(134&lt;=Datos!$B$13,134,"")</f>
        <v>134</v>
      </c>
      <c r="B139" s="44">
        <f>IF(A139="","",EDATE(Datos!$B$19,A139-1))</f>
        <v>50314</v>
      </c>
      <c r="C139" s="35">
        <f>IF(A139="","",I138)</f>
        <v>145928.06111716767</v>
      </c>
      <c r="D139" s="35">
        <f>IF(A139="","",C139*Datos!$B$17/Datos!$B$12)</f>
        <v>364.82015279291915</v>
      </c>
      <c r="E139" s="35">
        <f>IF(A139="","",MIN(Datos!$B$20,C139+D139))</f>
        <v>843.20806745890093</v>
      </c>
      <c r="F139" s="35">
        <f>IF(A139="","",MAX(0,E139-D139))</f>
        <v>478.38791466598178</v>
      </c>
      <c r="G139" s="36">
        <v>0</v>
      </c>
      <c r="H139" s="35">
        <f>IF(A139="","",MIN(C139,F139+G139))</f>
        <v>478.38791466598178</v>
      </c>
      <c r="I139" s="35">
        <f>IF(A139="","",MAX(0,C139-H139))</f>
        <v>145449.6732025017</v>
      </c>
      <c r="J139" s="35">
        <f>IF(A139="","",D139+H139)</f>
        <v>843.20806745890093</v>
      </c>
    </row>
    <row r="140" spans="1:10" ht="15" customHeight="1">
      <c r="A140" s="32">
        <f>IF(135&lt;=Datos!$B$13,135,"")</f>
        <v>135</v>
      </c>
      <c r="B140" s="44">
        <f>IF(A140="","",EDATE(Datos!$B$19,A140-1))</f>
        <v>50345</v>
      </c>
      <c r="C140" s="35">
        <f>IF(A140="","",I139)</f>
        <v>145449.6732025017</v>
      </c>
      <c r="D140" s="35">
        <f>IF(A140="","",C140*Datos!$B$17/Datos!$B$12)</f>
        <v>363.62418300625421</v>
      </c>
      <c r="E140" s="35">
        <f>IF(A140="","",MIN(Datos!$B$20,C140+D140))</f>
        <v>843.20806745890093</v>
      </c>
      <c r="F140" s="35">
        <f>IF(A140="","",MAX(0,E140-D140))</f>
        <v>479.58388445264671</v>
      </c>
      <c r="G140" s="36">
        <v>0</v>
      </c>
      <c r="H140" s="35">
        <f>IF(A140="","",MIN(C140,F140+G140))</f>
        <v>479.58388445264671</v>
      </c>
      <c r="I140" s="35">
        <f>IF(A140="","",MAX(0,C140-H140))</f>
        <v>144970.08931804905</v>
      </c>
      <c r="J140" s="35">
        <f>IF(A140="","",D140+H140)</f>
        <v>843.20806745890093</v>
      </c>
    </row>
    <row r="141" spans="1:10" ht="15" customHeight="1">
      <c r="A141" s="32">
        <f>IF(136&lt;=Datos!$B$13,136,"")</f>
        <v>136</v>
      </c>
      <c r="B141" s="44">
        <f>IF(A141="","",EDATE(Datos!$B$19,A141-1))</f>
        <v>50375</v>
      </c>
      <c r="C141" s="35">
        <f>IF(A141="","",I140)</f>
        <v>144970.08931804905</v>
      </c>
      <c r="D141" s="35">
        <f>IF(A141="","",C141*Datos!$B$17/Datos!$B$12)</f>
        <v>362.42522329512263</v>
      </c>
      <c r="E141" s="35">
        <f>IF(A141="","",MIN(Datos!$B$20,C141+D141))</f>
        <v>843.20806745890093</v>
      </c>
      <c r="F141" s="35">
        <f>IF(A141="","",MAX(0,E141-D141))</f>
        <v>480.78284416377829</v>
      </c>
      <c r="G141" s="36">
        <v>0</v>
      </c>
      <c r="H141" s="35">
        <f>IF(A141="","",MIN(C141,F141+G141))</f>
        <v>480.78284416377829</v>
      </c>
      <c r="I141" s="35">
        <f>IF(A141="","",MAX(0,C141-H141))</f>
        <v>144489.30647388528</v>
      </c>
      <c r="J141" s="35">
        <f>IF(A141="","",D141+H141)</f>
        <v>843.20806745890093</v>
      </c>
    </row>
    <row r="142" spans="1:10" ht="15" customHeight="1">
      <c r="A142" s="32">
        <f>IF(137&lt;=Datos!$B$13,137,"")</f>
        <v>137</v>
      </c>
      <c r="B142" s="44">
        <f>IF(A142="","",EDATE(Datos!$B$19,A142-1))</f>
        <v>50406</v>
      </c>
      <c r="C142" s="35">
        <f>IF(A142="","",I141)</f>
        <v>144489.30647388528</v>
      </c>
      <c r="D142" s="35">
        <f>IF(A142="","",C142*Datos!$B$17/Datos!$B$12)</f>
        <v>361.22326618471317</v>
      </c>
      <c r="E142" s="35">
        <f>IF(A142="","",MIN(Datos!$B$20,C142+D142))</f>
        <v>843.20806745890093</v>
      </c>
      <c r="F142" s="35">
        <f>IF(A142="","",MAX(0,E142-D142))</f>
        <v>481.98480127418776</v>
      </c>
      <c r="G142" s="36">
        <v>0</v>
      </c>
      <c r="H142" s="35">
        <f>IF(A142="","",MIN(C142,F142+G142))</f>
        <v>481.98480127418776</v>
      </c>
      <c r="I142" s="35">
        <f>IF(A142="","",MAX(0,C142-H142))</f>
        <v>144007.32167261108</v>
      </c>
      <c r="J142" s="35">
        <f>IF(A142="","",D142+H142)</f>
        <v>843.20806745890093</v>
      </c>
    </row>
    <row r="143" spans="1:10" ht="15" customHeight="1">
      <c r="A143" s="32">
        <f>IF(138&lt;=Datos!$B$13,138,"")</f>
        <v>138</v>
      </c>
      <c r="B143" s="44">
        <f>IF(A143="","",EDATE(Datos!$B$19,A143-1))</f>
        <v>50437</v>
      </c>
      <c r="C143" s="35">
        <f>IF(A143="","",I142)</f>
        <v>144007.32167261108</v>
      </c>
      <c r="D143" s="35">
        <f>IF(A143="","",C143*Datos!$B$17/Datos!$B$12)</f>
        <v>360.01830418152775</v>
      </c>
      <c r="E143" s="35">
        <f>IF(A143="","",MIN(Datos!$B$20,C143+D143))</f>
        <v>843.20806745890093</v>
      </c>
      <c r="F143" s="35">
        <f>IF(A143="","",MAX(0,E143-D143))</f>
        <v>483.18976327737317</v>
      </c>
      <c r="G143" s="36">
        <v>0</v>
      </c>
      <c r="H143" s="35">
        <f>IF(A143="","",MIN(C143,F143+G143))</f>
        <v>483.18976327737317</v>
      </c>
      <c r="I143" s="35">
        <f>IF(A143="","",MAX(0,C143-H143))</f>
        <v>143524.13190933372</v>
      </c>
      <c r="J143" s="35">
        <f>IF(A143="","",D143+H143)</f>
        <v>843.20806745890093</v>
      </c>
    </row>
    <row r="144" spans="1:10" ht="15" customHeight="1">
      <c r="A144" s="32">
        <f>IF(139&lt;=Datos!$B$13,139,"")</f>
        <v>139</v>
      </c>
      <c r="B144" s="44">
        <f>IF(A144="","",EDATE(Datos!$B$19,A144-1))</f>
        <v>50465</v>
      </c>
      <c r="C144" s="35">
        <f>IF(A144="","",I143)</f>
        <v>143524.13190933372</v>
      </c>
      <c r="D144" s="35">
        <f>IF(A144="","",C144*Datos!$B$17/Datos!$B$12)</f>
        <v>358.81032977333433</v>
      </c>
      <c r="E144" s="35">
        <f>IF(A144="","",MIN(Datos!$B$20,C144+D144))</f>
        <v>843.20806745890093</v>
      </c>
      <c r="F144" s="35">
        <f>IF(A144="","",MAX(0,E144-D144))</f>
        <v>484.3977376855666</v>
      </c>
      <c r="G144" s="36">
        <v>0</v>
      </c>
      <c r="H144" s="35">
        <f>IF(A144="","",MIN(C144,F144+G144))</f>
        <v>484.3977376855666</v>
      </c>
      <c r="I144" s="35">
        <f>IF(A144="","",MAX(0,C144-H144))</f>
        <v>143039.73417164816</v>
      </c>
      <c r="J144" s="35">
        <f>IF(A144="","",D144+H144)</f>
        <v>843.20806745890093</v>
      </c>
    </row>
    <row r="145" spans="1:10" ht="15" customHeight="1">
      <c r="A145" s="32">
        <f>IF(140&lt;=Datos!$B$13,140,"")</f>
        <v>140</v>
      </c>
      <c r="B145" s="44">
        <f>IF(A145="","",EDATE(Datos!$B$19,A145-1))</f>
        <v>50496</v>
      </c>
      <c r="C145" s="35">
        <f>IF(A145="","",I144)</f>
        <v>143039.73417164816</v>
      </c>
      <c r="D145" s="35">
        <f>IF(A145="","",C145*Datos!$B$17/Datos!$B$12)</f>
        <v>357.5993354291204</v>
      </c>
      <c r="E145" s="35">
        <f>IF(A145="","",MIN(Datos!$B$20,C145+D145))</f>
        <v>843.20806745890093</v>
      </c>
      <c r="F145" s="35">
        <f>IF(A145="","",MAX(0,E145-D145))</f>
        <v>485.60873202978053</v>
      </c>
      <c r="G145" s="36">
        <v>0</v>
      </c>
      <c r="H145" s="35">
        <f>IF(A145="","",MIN(C145,F145+G145))</f>
        <v>485.60873202978053</v>
      </c>
      <c r="I145" s="35">
        <f>IF(A145="","",MAX(0,C145-H145))</f>
        <v>142554.12543961839</v>
      </c>
      <c r="J145" s="35">
        <f>IF(A145="","",D145+H145)</f>
        <v>843.20806745890093</v>
      </c>
    </row>
    <row r="146" spans="1:10" ht="15" customHeight="1">
      <c r="A146" s="32">
        <f>IF(141&lt;=Datos!$B$13,141,"")</f>
        <v>141</v>
      </c>
      <c r="B146" s="44">
        <f>IF(A146="","",EDATE(Datos!$B$19,A146-1))</f>
        <v>50526</v>
      </c>
      <c r="C146" s="35">
        <f>IF(A146="","",I145)</f>
        <v>142554.12543961839</v>
      </c>
      <c r="D146" s="35">
        <f>IF(A146="","",C146*Datos!$B$17/Datos!$B$12)</f>
        <v>356.38531359904596</v>
      </c>
      <c r="E146" s="35">
        <f>IF(A146="","",MIN(Datos!$B$20,C146+D146))</f>
        <v>843.20806745890093</v>
      </c>
      <c r="F146" s="35">
        <f>IF(A146="","",MAX(0,E146-D146))</f>
        <v>486.82275385985497</v>
      </c>
      <c r="G146" s="36">
        <v>0</v>
      </c>
      <c r="H146" s="35">
        <f>IF(A146="","",MIN(C146,F146+G146))</f>
        <v>486.82275385985497</v>
      </c>
      <c r="I146" s="35">
        <f>IF(A146="","",MAX(0,C146-H146))</f>
        <v>142067.30268575854</v>
      </c>
      <c r="J146" s="35">
        <f>IF(A146="","",D146+H146)</f>
        <v>843.20806745890093</v>
      </c>
    </row>
    <row r="147" spans="1:10" ht="15" customHeight="1">
      <c r="A147" s="32">
        <f>IF(142&lt;=Datos!$B$13,142,"")</f>
        <v>142</v>
      </c>
      <c r="B147" s="44">
        <f>IF(A147="","",EDATE(Datos!$B$19,A147-1))</f>
        <v>50557</v>
      </c>
      <c r="C147" s="35">
        <f>IF(A147="","",I146)</f>
        <v>142067.30268575854</v>
      </c>
      <c r="D147" s="35">
        <f>IF(A147="","",C147*Datos!$B$17/Datos!$B$12)</f>
        <v>355.16825671439636</v>
      </c>
      <c r="E147" s="35">
        <f>IF(A147="","",MIN(Datos!$B$20,C147+D147))</f>
        <v>843.20806745890093</v>
      </c>
      <c r="F147" s="35">
        <f>IF(A147="","",MAX(0,E147-D147))</f>
        <v>488.03981074450456</v>
      </c>
      <c r="G147" s="36">
        <v>0</v>
      </c>
      <c r="H147" s="35">
        <f>IF(A147="","",MIN(C147,F147+G147))</f>
        <v>488.03981074450456</v>
      </c>
      <c r="I147" s="35">
        <f>IF(A147="","",MAX(0,C147-H147))</f>
        <v>141579.26287501404</v>
      </c>
      <c r="J147" s="35">
        <f>IF(A147="","",D147+H147)</f>
        <v>843.20806745890093</v>
      </c>
    </row>
    <row r="148" spans="1:10" ht="15" customHeight="1">
      <c r="A148" s="32">
        <f>IF(143&lt;=Datos!$B$13,143,"")</f>
        <v>143</v>
      </c>
      <c r="B148" s="44">
        <f>IF(A148="","",EDATE(Datos!$B$19,A148-1))</f>
        <v>50587</v>
      </c>
      <c r="C148" s="35">
        <f>IF(A148="","",I147)</f>
        <v>141579.26287501404</v>
      </c>
      <c r="D148" s="35">
        <f>IF(A148="","",C148*Datos!$B$17/Datos!$B$12)</f>
        <v>353.94815718753512</v>
      </c>
      <c r="E148" s="35">
        <f>IF(A148="","",MIN(Datos!$B$20,C148+D148))</f>
        <v>843.20806745890093</v>
      </c>
      <c r="F148" s="35">
        <f>IF(A148="","",MAX(0,E148-D148))</f>
        <v>489.25991027136581</v>
      </c>
      <c r="G148" s="36">
        <v>0</v>
      </c>
      <c r="H148" s="35">
        <f>IF(A148="","",MIN(C148,F148+G148))</f>
        <v>489.25991027136581</v>
      </c>
      <c r="I148" s="35">
        <f>IF(A148="","",MAX(0,C148-H148))</f>
        <v>141090.00296474269</v>
      </c>
      <c r="J148" s="35">
        <f>IF(A148="","",D148+H148)</f>
        <v>843.20806745890093</v>
      </c>
    </row>
    <row r="149" spans="1:10" ht="15" customHeight="1">
      <c r="A149" s="32">
        <f>IF(144&lt;=Datos!$B$13,144,"")</f>
        <v>144</v>
      </c>
      <c r="B149" s="44">
        <f>IF(A149="","",EDATE(Datos!$B$19,A149-1))</f>
        <v>50618</v>
      </c>
      <c r="C149" s="35">
        <f>IF(A149="","",I148)</f>
        <v>141090.00296474269</v>
      </c>
      <c r="D149" s="35">
        <f>IF(A149="","",C149*Datos!$B$17/Datos!$B$12)</f>
        <v>352.72500741185672</v>
      </c>
      <c r="E149" s="35">
        <f>IF(A149="","",MIN(Datos!$B$20,C149+D149))</f>
        <v>843.20806745890093</v>
      </c>
      <c r="F149" s="35">
        <f>IF(A149="","",MAX(0,E149-D149))</f>
        <v>490.48306004704421</v>
      </c>
      <c r="G149" s="36">
        <v>0</v>
      </c>
      <c r="H149" s="35">
        <f>IF(A149="","",MIN(C149,F149+G149))</f>
        <v>490.48306004704421</v>
      </c>
      <c r="I149" s="35">
        <f>IF(A149="","",MAX(0,C149-H149))</f>
        <v>140599.51990469565</v>
      </c>
      <c r="J149" s="35">
        <f>IF(A149="","",D149+H149)</f>
        <v>843.20806745890093</v>
      </c>
    </row>
    <row r="150" spans="1:10" ht="15" customHeight="1">
      <c r="A150" s="32">
        <f>IF(145&lt;=Datos!$B$13,145,"")</f>
        <v>145</v>
      </c>
      <c r="B150" s="44">
        <f>IF(A150="","",EDATE(Datos!$B$19,A150-1))</f>
        <v>50649</v>
      </c>
      <c r="C150" s="35">
        <f>IF(A150="","",I149)</f>
        <v>140599.51990469565</v>
      </c>
      <c r="D150" s="35">
        <f>IF(A150="","",C150*Datos!$B$17/Datos!$B$12)</f>
        <v>351.49879976173912</v>
      </c>
      <c r="E150" s="35">
        <f>IF(A150="","",MIN(Datos!$B$20,C150+D150))</f>
        <v>843.20806745890093</v>
      </c>
      <c r="F150" s="35">
        <f>IF(A150="","",MAX(0,E150-D150))</f>
        <v>491.70926769716181</v>
      </c>
      <c r="G150" s="36">
        <v>0</v>
      </c>
      <c r="H150" s="35">
        <f>IF(A150="","",MIN(C150,F150+G150))</f>
        <v>491.70926769716181</v>
      </c>
      <c r="I150" s="35">
        <f>IF(A150="","",MAX(0,C150-H150))</f>
        <v>140107.8106369985</v>
      </c>
      <c r="J150" s="35">
        <f>IF(A150="","",D150+H150)</f>
        <v>843.20806745890093</v>
      </c>
    </row>
    <row r="151" spans="1:10" ht="15" customHeight="1">
      <c r="A151" s="32">
        <f>IF(146&lt;=Datos!$B$13,146,"")</f>
        <v>146</v>
      </c>
      <c r="B151" s="44">
        <f>IF(A151="","",EDATE(Datos!$B$19,A151-1))</f>
        <v>50679</v>
      </c>
      <c r="C151" s="35">
        <f>IF(A151="","",I150)</f>
        <v>140107.8106369985</v>
      </c>
      <c r="D151" s="35">
        <f>IF(A151="","",C151*Datos!$B$17/Datos!$B$12)</f>
        <v>350.26952659249628</v>
      </c>
      <c r="E151" s="35">
        <f>IF(A151="","",MIN(Datos!$B$20,C151+D151))</f>
        <v>843.20806745890093</v>
      </c>
      <c r="F151" s="35">
        <f>IF(A151="","",MAX(0,E151-D151))</f>
        <v>492.93854086640465</v>
      </c>
      <c r="G151" s="36">
        <v>0</v>
      </c>
      <c r="H151" s="35">
        <f>IF(A151="","",MIN(C151,F151+G151))</f>
        <v>492.93854086640465</v>
      </c>
      <c r="I151" s="35">
        <f>IF(A151="","",MAX(0,C151-H151))</f>
        <v>139614.87209613211</v>
      </c>
      <c r="J151" s="35">
        <f>IF(A151="","",D151+H151)</f>
        <v>843.20806745890093</v>
      </c>
    </row>
    <row r="152" spans="1:10" ht="15" customHeight="1">
      <c r="A152" s="32">
        <f>IF(147&lt;=Datos!$B$13,147,"")</f>
        <v>147</v>
      </c>
      <c r="B152" s="44">
        <f>IF(A152="","",EDATE(Datos!$B$19,A152-1))</f>
        <v>50710</v>
      </c>
      <c r="C152" s="35">
        <f>IF(A152="","",I151)</f>
        <v>139614.87209613211</v>
      </c>
      <c r="D152" s="35">
        <f>IF(A152="","",C152*Datos!$B$17/Datos!$B$12)</f>
        <v>349.03718024033031</v>
      </c>
      <c r="E152" s="35">
        <f>IF(A152="","",MIN(Datos!$B$20,C152+D152))</f>
        <v>843.20806745890093</v>
      </c>
      <c r="F152" s="35">
        <f>IF(A152="","",MAX(0,E152-D152))</f>
        <v>494.17088721857061</v>
      </c>
      <c r="G152" s="36">
        <v>0</v>
      </c>
      <c r="H152" s="35">
        <f>IF(A152="","",MIN(C152,F152+G152))</f>
        <v>494.17088721857061</v>
      </c>
      <c r="I152" s="35">
        <f>IF(A152="","",MAX(0,C152-H152))</f>
        <v>139120.70120891352</v>
      </c>
      <c r="J152" s="35">
        <f>IF(A152="","",D152+H152)</f>
        <v>843.20806745890093</v>
      </c>
    </row>
    <row r="153" spans="1:10" ht="15" customHeight="1">
      <c r="A153" s="32">
        <f>IF(148&lt;=Datos!$B$13,148,"")</f>
        <v>148</v>
      </c>
      <c r="B153" s="44">
        <f>IF(A153="","",EDATE(Datos!$B$19,A153-1))</f>
        <v>50740</v>
      </c>
      <c r="C153" s="35">
        <f>IF(A153="","",I152)</f>
        <v>139120.70120891352</v>
      </c>
      <c r="D153" s="35">
        <f>IF(A153="","",C153*Datos!$B$17/Datos!$B$12)</f>
        <v>347.80175302228378</v>
      </c>
      <c r="E153" s="35">
        <f>IF(A153="","",MIN(Datos!$B$20,C153+D153))</f>
        <v>843.20806745890093</v>
      </c>
      <c r="F153" s="35">
        <f>IF(A153="","",MAX(0,E153-D153))</f>
        <v>495.40631443661715</v>
      </c>
      <c r="G153" s="36">
        <v>0</v>
      </c>
      <c r="H153" s="35">
        <f>IF(A153="","",MIN(C153,F153+G153))</f>
        <v>495.40631443661715</v>
      </c>
      <c r="I153" s="35">
        <f>IF(A153="","",MAX(0,C153-H153))</f>
        <v>138625.29489447692</v>
      </c>
      <c r="J153" s="35">
        <f>IF(A153="","",D153+H153)</f>
        <v>843.20806745890093</v>
      </c>
    </row>
    <row r="154" spans="1:10" ht="15" customHeight="1">
      <c r="A154" s="32">
        <f>IF(149&lt;=Datos!$B$13,149,"")</f>
        <v>149</v>
      </c>
      <c r="B154" s="44">
        <f>IF(A154="","",EDATE(Datos!$B$19,A154-1))</f>
        <v>50771</v>
      </c>
      <c r="C154" s="35">
        <f>IF(A154="","",I153)</f>
        <v>138625.29489447692</v>
      </c>
      <c r="D154" s="35">
        <f>IF(A154="","",C154*Datos!$B$17/Datos!$B$12)</f>
        <v>346.56323723619226</v>
      </c>
      <c r="E154" s="35">
        <f>IF(A154="","",MIN(Datos!$B$20,C154+D154))</f>
        <v>843.20806745890093</v>
      </c>
      <c r="F154" s="35">
        <f>IF(A154="","",MAX(0,E154-D154))</f>
        <v>496.64483022270866</v>
      </c>
      <c r="G154" s="36">
        <v>0</v>
      </c>
      <c r="H154" s="35">
        <f>IF(A154="","",MIN(C154,F154+G154))</f>
        <v>496.64483022270866</v>
      </c>
      <c r="I154" s="35">
        <f>IF(A154="","",MAX(0,C154-H154))</f>
        <v>138128.65006425421</v>
      </c>
      <c r="J154" s="35">
        <f>IF(A154="","",D154+H154)</f>
        <v>843.20806745890093</v>
      </c>
    </row>
    <row r="155" spans="1:10" ht="15" customHeight="1">
      <c r="A155" s="32">
        <f>IF(150&lt;=Datos!$B$13,150,"")</f>
        <v>150</v>
      </c>
      <c r="B155" s="44">
        <f>IF(A155="","",EDATE(Datos!$B$19,A155-1))</f>
        <v>50802</v>
      </c>
      <c r="C155" s="35">
        <f>IF(A155="","",I154)</f>
        <v>138128.65006425421</v>
      </c>
      <c r="D155" s="35">
        <f>IF(A155="","",C155*Datos!$B$17/Datos!$B$12)</f>
        <v>345.32162516063551</v>
      </c>
      <c r="E155" s="35">
        <f>IF(A155="","",MIN(Datos!$B$20,C155+D155))</f>
        <v>843.20806745890093</v>
      </c>
      <c r="F155" s="35">
        <f>IF(A155="","",MAX(0,E155-D155))</f>
        <v>497.88644229826542</v>
      </c>
      <c r="G155" s="36">
        <v>0</v>
      </c>
      <c r="H155" s="35">
        <f>IF(A155="","",MIN(C155,F155+G155))</f>
        <v>497.88644229826542</v>
      </c>
      <c r="I155" s="35">
        <f>IF(A155="","",MAX(0,C155-H155))</f>
        <v>137630.76362195594</v>
      </c>
      <c r="J155" s="35">
        <f>IF(A155="","",D155+H155)</f>
        <v>843.20806745890093</v>
      </c>
    </row>
    <row r="156" spans="1:10" ht="15" customHeight="1">
      <c r="A156" s="32">
        <f>IF(151&lt;=Datos!$B$13,151,"")</f>
        <v>151</v>
      </c>
      <c r="B156" s="44">
        <f>IF(A156="","",EDATE(Datos!$B$19,A156-1))</f>
        <v>50830</v>
      </c>
      <c r="C156" s="35">
        <f>IF(A156="","",I155)</f>
        <v>137630.76362195594</v>
      </c>
      <c r="D156" s="35">
        <f>IF(A156="","",C156*Datos!$B$17/Datos!$B$12)</f>
        <v>344.07690905488988</v>
      </c>
      <c r="E156" s="35">
        <f>IF(A156="","",MIN(Datos!$B$20,C156+D156))</f>
        <v>843.20806745890093</v>
      </c>
      <c r="F156" s="35">
        <f>IF(A156="","",MAX(0,E156-D156))</f>
        <v>499.13115840401105</v>
      </c>
      <c r="G156" s="36">
        <v>0</v>
      </c>
      <c r="H156" s="35">
        <f>IF(A156="","",MIN(C156,F156+G156))</f>
        <v>499.13115840401105</v>
      </c>
      <c r="I156" s="35">
        <f>IF(A156="","",MAX(0,C156-H156))</f>
        <v>137131.63246355191</v>
      </c>
      <c r="J156" s="35">
        <f>IF(A156="","",D156+H156)</f>
        <v>843.20806745890093</v>
      </c>
    </row>
    <row r="157" spans="1:10" ht="15" customHeight="1">
      <c r="A157" s="32">
        <f>IF(152&lt;=Datos!$B$13,152,"")</f>
        <v>152</v>
      </c>
      <c r="B157" s="44">
        <f>IF(A157="","",EDATE(Datos!$B$19,A157-1))</f>
        <v>50861</v>
      </c>
      <c r="C157" s="35">
        <f>IF(A157="","",I156)</f>
        <v>137131.63246355191</v>
      </c>
      <c r="D157" s="35">
        <f>IF(A157="","",C157*Datos!$B$17/Datos!$B$12)</f>
        <v>342.82908115887977</v>
      </c>
      <c r="E157" s="35">
        <f>IF(A157="","",MIN(Datos!$B$20,C157+D157))</f>
        <v>843.20806745890093</v>
      </c>
      <c r="F157" s="35">
        <f>IF(A157="","",MAX(0,E157-D157))</f>
        <v>500.37898630002115</v>
      </c>
      <c r="G157" s="36">
        <v>0</v>
      </c>
      <c r="H157" s="35">
        <f>IF(A157="","",MIN(C157,F157+G157))</f>
        <v>500.37898630002115</v>
      </c>
      <c r="I157" s="35">
        <f>IF(A157="","",MAX(0,C157-H157))</f>
        <v>136631.25347725188</v>
      </c>
      <c r="J157" s="35">
        <f>IF(A157="","",D157+H157)</f>
        <v>843.20806745890093</v>
      </c>
    </row>
    <row r="158" spans="1:10" ht="15" customHeight="1">
      <c r="A158" s="32">
        <f>IF(153&lt;=Datos!$B$13,153,"")</f>
        <v>153</v>
      </c>
      <c r="B158" s="44">
        <f>IF(A158="","",EDATE(Datos!$B$19,A158-1))</f>
        <v>50891</v>
      </c>
      <c r="C158" s="35">
        <f>IF(A158="","",I157)</f>
        <v>136631.25347725188</v>
      </c>
      <c r="D158" s="35">
        <f>IF(A158="","",C158*Datos!$B$17/Datos!$B$12)</f>
        <v>341.5781336931297</v>
      </c>
      <c r="E158" s="35">
        <f>IF(A158="","",MIN(Datos!$B$20,C158+D158))</f>
        <v>843.20806745890093</v>
      </c>
      <c r="F158" s="35">
        <f>IF(A158="","",MAX(0,E158-D158))</f>
        <v>501.62993376577123</v>
      </c>
      <c r="G158" s="36">
        <v>0</v>
      </c>
      <c r="H158" s="35">
        <f>IF(A158="","",MIN(C158,F158+G158))</f>
        <v>501.62993376577123</v>
      </c>
      <c r="I158" s="35">
        <f>IF(A158="","",MAX(0,C158-H158))</f>
        <v>136129.62354348612</v>
      </c>
      <c r="J158" s="35">
        <f>IF(A158="","",D158+H158)</f>
        <v>843.20806745890093</v>
      </c>
    </row>
    <row r="159" spans="1:10" ht="15" customHeight="1">
      <c r="A159" s="32">
        <f>IF(154&lt;=Datos!$B$13,154,"")</f>
        <v>154</v>
      </c>
      <c r="B159" s="44">
        <f>IF(A159="","",EDATE(Datos!$B$19,A159-1))</f>
        <v>50922</v>
      </c>
      <c r="C159" s="35">
        <f>IF(A159="","",I158)</f>
        <v>136129.62354348612</v>
      </c>
      <c r="D159" s="35">
        <f>IF(A159="","",C159*Datos!$B$17/Datos!$B$12)</f>
        <v>340.32405885871526</v>
      </c>
      <c r="E159" s="35">
        <f>IF(A159="","",MIN(Datos!$B$20,C159+D159))</f>
        <v>843.20806745890093</v>
      </c>
      <c r="F159" s="35">
        <f>IF(A159="","",MAX(0,E159-D159))</f>
        <v>502.88400860018567</v>
      </c>
      <c r="G159" s="36">
        <v>0</v>
      </c>
      <c r="H159" s="35">
        <f>IF(A159="","",MIN(C159,F159+G159))</f>
        <v>502.88400860018567</v>
      </c>
      <c r="I159" s="35">
        <f>IF(A159="","",MAX(0,C159-H159))</f>
        <v>135626.73953488594</v>
      </c>
      <c r="J159" s="35">
        <f>IF(A159="","",D159+H159)</f>
        <v>843.20806745890093</v>
      </c>
    </row>
    <row r="160" spans="1:10" ht="15" customHeight="1">
      <c r="A160" s="32">
        <f>IF(155&lt;=Datos!$B$13,155,"")</f>
        <v>155</v>
      </c>
      <c r="B160" s="44">
        <f>IF(A160="","",EDATE(Datos!$B$19,A160-1))</f>
        <v>50952</v>
      </c>
      <c r="C160" s="35">
        <f>IF(A160="","",I159)</f>
        <v>135626.73953488594</v>
      </c>
      <c r="D160" s="35">
        <f>IF(A160="","",C160*Datos!$B$17/Datos!$B$12)</f>
        <v>339.06684883721488</v>
      </c>
      <c r="E160" s="35">
        <f>IF(A160="","",MIN(Datos!$B$20,C160+D160))</f>
        <v>843.20806745890093</v>
      </c>
      <c r="F160" s="35">
        <f>IF(A160="","",MAX(0,E160-D160))</f>
        <v>504.14121862168605</v>
      </c>
      <c r="G160" s="36">
        <v>0</v>
      </c>
      <c r="H160" s="35">
        <f>IF(A160="","",MIN(C160,F160+G160))</f>
        <v>504.14121862168605</v>
      </c>
      <c r="I160" s="35">
        <f>IF(A160="","",MAX(0,C160-H160))</f>
        <v>135122.59831626425</v>
      </c>
      <c r="J160" s="35">
        <f>IF(A160="","",D160+H160)</f>
        <v>843.20806745890093</v>
      </c>
    </row>
    <row r="161" spans="1:10" ht="15" customHeight="1">
      <c r="A161" s="32">
        <f>IF(156&lt;=Datos!$B$13,156,"")</f>
        <v>156</v>
      </c>
      <c r="B161" s="44">
        <f>IF(A161="","",EDATE(Datos!$B$19,A161-1))</f>
        <v>50983</v>
      </c>
      <c r="C161" s="35">
        <f>IF(A161="","",I160)</f>
        <v>135122.59831626425</v>
      </c>
      <c r="D161" s="35">
        <f>IF(A161="","",C161*Datos!$B$17/Datos!$B$12)</f>
        <v>337.80649579066062</v>
      </c>
      <c r="E161" s="35">
        <f>IF(A161="","",MIN(Datos!$B$20,C161+D161))</f>
        <v>843.20806745890093</v>
      </c>
      <c r="F161" s="35">
        <f>IF(A161="","",MAX(0,E161-D161))</f>
        <v>505.40157166824031</v>
      </c>
      <c r="G161" s="36">
        <v>0</v>
      </c>
      <c r="H161" s="35">
        <f>IF(A161="","",MIN(C161,F161+G161))</f>
        <v>505.40157166824031</v>
      </c>
      <c r="I161" s="35">
        <f>IF(A161="","",MAX(0,C161-H161))</f>
        <v>134617.196744596</v>
      </c>
      <c r="J161" s="35">
        <f>IF(A161="","",D161+H161)</f>
        <v>843.20806745890093</v>
      </c>
    </row>
    <row r="162" spans="1:10" ht="15" customHeight="1">
      <c r="A162" s="32">
        <f>IF(157&lt;=Datos!$B$13,157,"")</f>
        <v>157</v>
      </c>
      <c r="B162" s="44">
        <f>IF(A162="","",EDATE(Datos!$B$19,A162-1))</f>
        <v>51014</v>
      </c>
      <c r="C162" s="35">
        <f>IF(A162="","",I161)</f>
        <v>134617.196744596</v>
      </c>
      <c r="D162" s="35">
        <f>IF(A162="","",C162*Datos!$B$17/Datos!$B$12)</f>
        <v>336.54299186149001</v>
      </c>
      <c r="E162" s="35">
        <f>IF(A162="","",MIN(Datos!$B$20,C162+D162))</f>
        <v>843.20806745890093</v>
      </c>
      <c r="F162" s="35">
        <f>IF(A162="","",MAX(0,E162-D162))</f>
        <v>506.66507559741092</v>
      </c>
      <c r="G162" s="36">
        <v>0</v>
      </c>
      <c r="H162" s="35">
        <f>IF(A162="","",MIN(C162,F162+G162))</f>
        <v>506.66507559741092</v>
      </c>
      <c r="I162" s="35">
        <f>IF(A162="","",MAX(0,C162-H162))</f>
        <v>134110.53166899859</v>
      </c>
      <c r="J162" s="35">
        <f>IF(A162="","",D162+H162)</f>
        <v>843.20806745890093</v>
      </c>
    </row>
    <row r="163" spans="1:10" ht="15" customHeight="1">
      <c r="A163" s="32">
        <f>IF(158&lt;=Datos!$B$13,158,"")</f>
        <v>158</v>
      </c>
      <c r="B163" s="44">
        <f>IF(A163="","",EDATE(Datos!$B$19,A163-1))</f>
        <v>51044</v>
      </c>
      <c r="C163" s="35">
        <f>IF(A163="","",I162)</f>
        <v>134110.53166899859</v>
      </c>
      <c r="D163" s="35">
        <f>IF(A163="","",C163*Datos!$B$17/Datos!$B$12)</f>
        <v>335.27632917249645</v>
      </c>
      <c r="E163" s="35">
        <f>IF(A163="","",MIN(Datos!$B$20,C163+D163))</f>
        <v>843.20806745890093</v>
      </c>
      <c r="F163" s="35">
        <f>IF(A163="","",MAX(0,E163-D163))</f>
        <v>507.93173828640448</v>
      </c>
      <c r="G163" s="36">
        <v>0</v>
      </c>
      <c r="H163" s="35">
        <f>IF(A163="","",MIN(C163,F163+G163))</f>
        <v>507.93173828640448</v>
      </c>
      <c r="I163" s="35">
        <f>IF(A163="","",MAX(0,C163-H163))</f>
        <v>133602.5999307122</v>
      </c>
      <c r="J163" s="35">
        <f>IF(A163="","",D163+H163)</f>
        <v>843.20806745890093</v>
      </c>
    </row>
    <row r="164" spans="1:10" ht="15" customHeight="1">
      <c r="A164" s="32">
        <f>IF(159&lt;=Datos!$B$13,159,"")</f>
        <v>159</v>
      </c>
      <c r="B164" s="44">
        <f>IF(A164="","",EDATE(Datos!$B$19,A164-1))</f>
        <v>51075</v>
      </c>
      <c r="C164" s="35">
        <f>IF(A164="","",I163)</f>
        <v>133602.5999307122</v>
      </c>
      <c r="D164" s="35">
        <f>IF(A164="","",C164*Datos!$B$17/Datos!$B$12)</f>
        <v>334.0064998267805</v>
      </c>
      <c r="E164" s="35">
        <f>IF(A164="","",MIN(Datos!$B$20,C164+D164))</f>
        <v>843.20806745890093</v>
      </c>
      <c r="F164" s="35">
        <f>IF(A164="","",MAX(0,E164-D164))</f>
        <v>509.20156763212043</v>
      </c>
      <c r="G164" s="36">
        <v>0</v>
      </c>
      <c r="H164" s="35">
        <f>IF(A164="","",MIN(C164,F164+G164))</f>
        <v>509.20156763212043</v>
      </c>
      <c r="I164" s="35">
        <f>IF(A164="","",MAX(0,C164-H164))</f>
        <v>133093.39836308008</v>
      </c>
      <c r="J164" s="35">
        <f>IF(A164="","",D164+H164)</f>
        <v>843.20806745890093</v>
      </c>
    </row>
    <row r="165" spans="1:10" ht="15" customHeight="1">
      <c r="A165" s="32">
        <f>IF(160&lt;=Datos!$B$13,160,"")</f>
        <v>160</v>
      </c>
      <c r="B165" s="44">
        <f>IF(A165="","",EDATE(Datos!$B$19,A165-1))</f>
        <v>51105</v>
      </c>
      <c r="C165" s="35">
        <f>IF(A165="","",I164)</f>
        <v>133093.39836308008</v>
      </c>
      <c r="D165" s="35">
        <f>IF(A165="","",C165*Datos!$B$17/Datos!$B$12)</f>
        <v>332.73349590770016</v>
      </c>
      <c r="E165" s="35">
        <f>IF(A165="","",MIN(Datos!$B$20,C165+D165))</f>
        <v>843.20806745890093</v>
      </c>
      <c r="F165" s="35">
        <f>IF(A165="","",MAX(0,E165-D165))</f>
        <v>510.47457155120077</v>
      </c>
      <c r="G165" s="36">
        <v>0</v>
      </c>
      <c r="H165" s="35">
        <f>IF(A165="","",MIN(C165,F165+G165))</f>
        <v>510.47457155120077</v>
      </c>
      <c r="I165" s="35">
        <f>IF(A165="","",MAX(0,C165-H165))</f>
        <v>132582.92379152888</v>
      </c>
      <c r="J165" s="35">
        <f>IF(A165="","",D165+H165)</f>
        <v>843.20806745890093</v>
      </c>
    </row>
    <row r="166" spans="1:10" ht="15" customHeight="1">
      <c r="A166" s="32">
        <f>IF(161&lt;=Datos!$B$13,161,"")</f>
        <v>161</v>
      </c>
      <c r="B166" s="44">
        <f>IF(A166="","",EDATE(Datos!$B$19,A166-1))</f>
        <v>51136</v>
      </c>
      <c r="C166" s="35">
        <f>IF(A166="","",I165)</f>
        <v>132582.92379152888</v>
      </c>
      <c r="D166" s="35">
        <f>IF(A166="","",C166*Datos!$B$17/Datos!$B$12)</f>
        <v>331.4573094788222</v>
      </c>
      <c r="E166" s="35">
        <f>IF(A166="","",MIN(Datos!$B$20,C166+D166))</f>
        <v>843.20806745890093</v>
      </c>
      <c r="F166" s="35">
        <f>IF(A166="","",MAX(0,E166-D166))</f>
        <v>511.75075798007873</v>
      </c>
      <c r="G166" s="36">
        <v>0</v>
      </c>
      <c r="H166" s="35">
        <f>IF(A166="","",MIN(C166,F166+G166))</f>
        <v>511.75075798007873</v>
      </c>
      <c r="I166" s="35">
        <f>IF(A166="","",MAX(0,C166-H166))</f>
        <v>132071.17303354881</v>
      </c>
      <c r="J166" s="35">
        <f>IF(A166="","",D166+H166)</f>
        <v>843.20806745890093</v>
      </c>
    </row>
    <row r="167" spans="1:10" ht="15" customHeight="1">
      <c r="A167" s="32">
        <f>IF(162&lt;=Datos!$B$13,162,"")</f>
        <v>162</v>
      </c>
      <c r="B167" s="44">
        <f>IF(A167="","",EDATE(Datos!$B$19,A167-1))</f>
        <v>51167</v>
      </c>
      <c r="C167" s="35">
        <f>IF(A167="","",I166)</f>
        <v>132071.17303354881</v>
      </c>
      <c r="D167" s="35">
        <f>IF(A167="","",C167*Datos!$B$17/Datos!$B$12)</f>
        <v>330.17793258387201</v>
      </c>
      <c r="E167" s="35">
        <f>IF(A167="","",MIN(Datos!$B$20,C167+D167))</f>
        <v>843.20806745890093</v>
      </c>
      <c r="F167" s="35">
        <f>IF(A167="","",MAX(0,E167-D167))</f>
        <v>513.03013487502892</v>
      </c>
      <c r="G167" s="36">
        <v>0</v>
      </c>
      <c r="H167" s="35">
        <f>IF(A167="","",MIN(C167,F167+G167))</f>
        <v>513.03013487502892</v>
      </c>
      <c r="I167" s="35">
        <f>IF(A167="","",MAX(0,C167-H167))</f>
        <v>131558.14289867377</v>
      </c>
      <c r="J167" s="35">
        <f>IF(A167="","",D167+H167)</f>
        <v>843.20806745890093</v>
      </c>
    </row>
    <row r="168" spans="1:10" ht="15" customHeight="1">
      <c r="A168" s="32">
        <f>IF(163&lt;=Datos!$B$13,163,"")</f>
        <v>163</v>
      </c>
      <c r="B168" s="44">
        <f>IF(A168="","",EDATE(Datos!$B$19,A168-1))</f>
        <v>51196</v>
      </c>
      <c r="C168" s="35">
        <f>IF(A168="","",I167)</f>
        <v>131558.14289867377</v>
      </c>
      <c r="D168" s="35">
        <f>IF(A168="","",C168*Datos!$B$17/Datos!$B$12)</f>
        <v>328.89535724668445</v>
      </c>
      <c r="E168" s="35">
        <f>IF(A168="","",MIN(Datos!$B$20,C168+D168))</f>
        <v>843.20806745890093</v>
      </c>
      <c r="F168" s="35">
        <f>IF(A168="","",MAX(0,E168-D168))</f>
        <v>514.31271021221642</v>
      </c>
      <c r="G168" s="36">
        <v>0</v>
      </c>
      <c r="H168" s="35">
        <f>IF(A168="","",MIN(C168,F168+G168))</f>
        <v>514.31271021221642</v>
      </c>
      <c r="I168" s="35">
        <f>IF(A168="","",MAX(0,C168-H168))</f>
        <v>131043.83018846155</v>
      </c>
      <c r="J168" s="35">
        <f>IF(A168="","",D168+H168)</f>
        <v>843.20806745890081</v>
      </c>
    </row>
    <row r="169" spans="1:10" ht="15" customHeight="1">
      <c r="A169" s="32">
        <f>IF(164&lt;=Datos!$B$13,164,"")</f>
        <v>164</v>
      </c>
      <c r="B169" s="44">
        <f>IF(A169="","",EDATE(Datos!$B$19,A169-1))</f>
        <v>51227</v>
      </c>
      <c r="C169" s="35">
        <f>IF(A169="","",I168)</f>
        <v>131043.83018846155</v>
      </c>
      <c r="D169" s="35">
        <f>IF(A169="","",C169*Datos!$B$17/Datos!$B$12)</f>
        <v>327.60957547115385</v>
      </c>
      <c r="E169" s="35">
        <f>IF(A169="","",MIN(Datos!$B$20,C169+D169))</f>
        <v>843.20806745890093</v>
      </c>
      <c r="F169" s="35">
        <f>IF(A169="","",MAX(0,E169-D169))</f>
        <v>515.59849198774714</v>
      </c>
      <c r="G169" s="36">
        <v>0</v>
      </c>
      <c r="H169" s="35">
        <f>IF(A169="","",MIN(C169,F169+G169))</f>
        <v>515.59849198774714</v>
      </c>
      <c r="I169" s="35">
        <f>IF(A169="","",MAX(0,C169-H169))</f>
        <v>130528.2316964738</v>
      </c>
      <c r="J169" s="35">
        <f>IF(A169="","",D169+H169)</f>
        <v>843.20806745890104</v>
      </c>
    </row>
    <row r="170" spans="1:10" ht="15" customHeight="1">
      <c r="A170" s="32">
        <f>IF(165&lt;=Datos!$B$13,165,"")</f>
        <v>165</v>
      </c>
      <c r="B170" s="44">
        <f>IF(A170="","",EDATE(Datos!$B$19,A170-1))</f>
        <v>51257</v>
      </c>
      <c r="C170" s="35">
        <f>IF(A170="","",I169)</f>
        <v>130528.2316964738</v>
      </c>
      <c r="D170" s="35">
        <f>IF(A170="","",C170*Datos!$B$17/Datos!$B$12)</f>
        <v>326.32057924118448</v>
      </c>
      <c r="E170" s="35">
        <f>IF(A170="","",MIN(Datos!$B$20,C170+D170))</f>
        <v>843.20806745890093</v>
      </c>
      <c r="F170" s="35">
        <f>IF(A170="","",MAX(0,E170-D170))</f>
        <v>516.88748821771651</v>
      </c>
      <c r="G170" s="36">
        <v>0</v>
      </c>
      <c r="H170" s="35">
        <f>IF(A170="","",MIN(C170,F170+G170))</f>
        <v>516.88748821771651</v>
      </c>
      <c r="I170" s="35">
        <f>IF(A170="","",MAX(0,C170-H170))</f>
        <v>130011.34420825608</v>
      </c>
      <c r="J170" s="35">
        <f>IF(A170="","",D170+H170)</f>
        <v>843.20806745890104</v>
      </c>
    </row>
    <row r="171" spans="1:10" ht="15" customHeight="1">
      <c r="A171" s="32">
        <f>IF(166&lt;=Datos!$B$13,166,"")</f>
        <v>166</v>
      </c>
      <c r="B171" s="44">
        <f>IF(A171="","",EDATE(Datos!$B$19,A171-1))</f>
        <v>51288</v>
      </c>
      <c r="C171" s="35">
        <f>IF(A171="","",I170)</f>
        <v>130011.34420825608</v>
      </c>
      <c r="D171" s="35">
        <f>IF(A171="","",C171*Datos!$B$17/Datos!$B$12)</f>
        <v>325.02836052064021</v>
      </c>
      <c r="E171" s="35">
        <f>IF(A171="","",MIN(Datos!$B$20,C171+D171))</f>
        <v>843.20806745890093</v>
      </c>
      <c r="F171" s="35">
        <f>IF(A171="","",MAX(0,E171-D171))</f>
        <v>518.17970693826078</v>
      </c>
      <c r="G171" s="36">
        <v>0</v>
      </c>
      <c r="H171" s="35">
        <f>IF(A171="","",MIN(C171,F171+G171))</f>
        <v>518.17970693826078</v>
      </c>
      <c r="I171" s="35">
        <f>IF(A171="","",MAX(0,C171-H171))</f>
        <v>129493.16450131782</v>
      </c>
      <c r="J171" s="35">
        <f>IF(A171="","",D171+H171)</f>
        <v>843.20806745890104</v>
      </c>
    </row>
    <row r="172" spans="1:10" ht="15" customHeight="1">
      <c r="A172" s="32">
        <f>IF(167&lt;=Datos!$B$13,167,"")</f>
        <v>167</v>
      </c>
      <c r="B172" s="44">
        <f>IF(A172="","",EDATE(Datos!$B$19,A172-1))</f>
        <v>51318</v>
      </c>
      <c r="C172" s="35">
        <f>IF(A172="","",I171)</f>
        <v>129493.16450131782</v>
      </c>
      <c r="D172" s="35">
        <f>IF(A172="","",C172*Datos!$B$17/Datos!$B$12)</f>
        <v>323.7329112532945</v>
      </c>
      <c r="E172" s="35">
        <f>IF(A172="","",MIN(Datos!$B$20,C172+D172))</f>
        <v>843.20806745890093</v>
      </c>
      <c r="F172" s="35">
        <f>IF(A172="","",MAX(0,E172-D172))</f>
        <v>519.47515620560648</v>
      </c>
      <c r="G172" s="36">
        <v>0</v>
      </c>
      <c r="H172" s="35">
        <f>IF(A172="","",MIN(C172,F172+G172))</f>
        <v>519.47515620560648</v>
      </c>
      <c r="I172" s="35">
        <f>IF(A172="","",MAX(0,C172-H172))</f>
        <v>128973.68934511222</v>
      </c>
      <c r="J172" s="35">
        <f>IF(A172="","",D172+H172)</f>
        <v>843.20806745890104</v>
      </c>
    </row>
    <row r="173" spans="1:10" ht="15" customHeight="1">
      <c r="A173" s="32">
        <f>IF(168&lt;=Datos!$B$13,168,"")</f>
        <v>168</v>
      </c>
      <c r="B173" s="44">
        <f>IF(A173="","",EDATE(Datos!$B$19,A173-1))</f>
        <v>51349</v>
      </c>
      <c r="C173" s="35">
        <f>IF(A173="","",I172)</f>
        <v>128973.68934511222</v>
      </c>
      <c r="D173" s="35">
        <f>IF(A173="","",C173*Datos!$B$17/Datos!$B$12)</f>
        <v>322.43422336278053</v>
      </c>
      <c r="E173" s="35">
        <f>IF(A173="","",MIN(Datos!$B$20,C173+D173))</f>
        <v>843.20806745890093</v>
      </c>
      <c r="F173" s="35">
        <f>IF(A173="","",MAX(0,E173-D173))</f>
        <v>520.77384409612046</v>
      </c>
      <c r="G173" s="36">
        <v>0</v>
      </c>
      <c r="H173" s="35">
        <f>IF(A173="","",MIN(C173,F173+G173))</f>
        <v>520.77384409612046</v>
      </c>
      <c r="I173" s="35">
        <f>IF(A173="","",MAX(0,C173-H173))</f>
        <v>128452.91550101609</v>
      </c>
      <c r="J173" s="35">
        <f>IF(A173="","",D173+H173)</f>
        <v>843.20806745890104</v>
      </c>
    </row>
    <row r="174" spans="1:10" ht="15" customHeight="1">
      <c r="A174" s="32">
        <f>IF(169&lt;=Datos!$B$13,169,"")</f>
        <v>169</v>
      </c>
      <c r="B174" s="44">
        <f>IF(A174="","",EDATE(Datos!$B$19,A174-1))</f>
        <v>51380</v>
      </c>
      <c r="C174" s="35">
        <f>IF(A174="","",I173)</f>
        <v>128452.91550101609</v>
      </c>
      <c r="D174" s="35">
        <f>IF(A174="","",C174*Datos!$B$17/Datos!$B$12)</f>
        <v>321.13228875254021</v>
      </c>
      <c r="E174" s="35">
        <f>IF(A174="","",MIN(Datos!$B$20,C174+D174))</f>
        <v>843.20806745890093</v>
      </c>
      <c r="F174" s="35">
        <f>IF(A174="","",MAX(0,E174-D174))</f>
        <v>522.07577870636078</v>
      </c>
      <c r="G174" s="36">
        <v>0</v>
      </c>
      <c r="H174" s="35">
        <f>IF(A174="","",MIN(C174,F174+G174))</f>
        <v>522.07577870636078</v>
      </c>
      <c r="I174" s="35">
        <f>IF(A174="","",MAX(0,C174-H174))</f>
        <v>127930.83972230973</v>
      </c>
      <c r="J174" s="35">
        <f>IF(A174="","",D174+H174)</f>
        <v>843.20806745890104</v>
      </c>
    </row>
    <row r="175" spans="1:10" ht="15" customHeight="1">
      <c r="A175" s="32">
        <f>IF(170&lt;=Datos!$B$13,170,"")</f>
        <v>170</v>
      </c>
      <c r="B175" s="44">
        <f>IF(A175="","",EDATE(Datos!$B$19,A175-1))</f>
        <v>51410</v>
      </c>
      <c r="C175" s="35">
        <f>IF(A175="","",I174)</f>
        <v>127930.83972230973</v>
      </c>
      <c r="D175" s="35">
        <f>IF(A175="","",C175*Datos!$B$17/Datos!$B$12)</f>
        <v>319.82709930577431</v>
      </c>
      <c r="E175" s="35">
        <f>IF(A175="","",MIN(Datos!$B$20,C175+D175))</f>
        <v>843.20806745890093</v>
      </c>
      <c r="F175" s="35">
        <f>IF(A175="","",MAX(0,E175-D175))</f>
        <v>523.38096815312656</v>
      </c>
      <c r="G175" s="36">
        <v>0</v>
      </c>
      <c r="H175" s="35">
        <f>IF(A175="","",MIN(C175,F175+G175))</f>
        <v>523.38096815312656</v>
      </c>
      <c r="I175" s="35">
        <f>IF(A175="","",MAX(0,C175-H175))</f>
        <v>127407.4587541566</v>
      </c>
      <c r="J175" s="35">
        <f>IF(A175="","",D175+H175)</f>
        <v>843.20806745890081</v>
      </c>
    </row>
    <row r="176" spans="1:10" ht="15" customHeight="1">
      <c r="A176" s="32">
        <f>IF(171&lt;=Datos!$B$13,171,"")</f>
        <v>171</v>
      </c>
      <c r="B176" s="44">
        <f>IF(A176="","",EDATE(Datos!$B$19,A176-1))</f>
        <v>51441</v>
      </c>
      <c r="C176" s="35">
        <f>IF(A176="","",I175)</f>
        <v>127407.4587541566</v>
      </c>
      <c r="D176" s="35">
        <f>IF(A176="","",C176*Datos!$B$17/Datos!$B$12)</f>
        <v>318.51864688539149</v>
      </c>
      <c r="E176" s="35">
        <f>IF(A176="","",MIN(Datos!$B$20,C176+D176))</f>
        <v>843.20806745890093</v>
      </c>
      <c r="F176" s="35">
        <f>IF(A176="","",MAX(0,E176-D176))</f>
        <v>524.68942057350944</v>
      </c>
      <c r="G176" s="36">
        <v>0</v>
      </c>
      <c r="H176" s="35">
        <f>IF(A176="","",MIN(C176,F176+G176))</f>
        <v>524.68942057350944</v>
      </c>
      <c r="I176" s="35">
        <f>IF(A176="","",MAX(0,C176-H176))</f>
        <v>126882.76933358308</v>
      </c>
      <c r="J176" s="35">
        <f>IF(A176="","",D176+H176)</f>
        <v>843.20806745890093</v>
      </c>
    </row>
    <row r="177" spans="1:10" ht="15" customHeight="1">
      <c r="A177" s="32">
        <f>IF(172&lt;=Datos!$B$13,172,"")</f>
        <v>172</v>
      </c>
      <c r="B177" s="44">
        <f>IF(A177="","",EDATE(Datos!$B$19,A177-1))</f>
        <v>51471</v>
      </c>
      <c r="C177" s="35">
        <f>IF(A177="","",I176)</f>
        <v>126882.76933358308</v>
      </c>
      <c r="D177" s="35">
        <f>IF(A177="","",C177*Datos!$B$17/Datos!$B$12)</f>
        <v>317.20692333395772</v>
      </c>
      <c r="E177" s="35">
        <f>IF(A177="","",MIN(Datos!$B$20,C177+D177))</f>
        <v>843.20806745890093</v>
      </c>
      <c r="F177" s="35">
        <f>IF(A177="","",MAX(0,E177-D177))</f>
        <v>526.00114412494327</v>
      </c>
      <c r="G177" s="36">
        <v>0</v>
      </c>
      <c r="H177" s="35">
        <f>IF(A177="","",MIN(C177,F177+G177))</f>
        <v>526.00114412494327</v>
      </c>
      <c r="I177" s="35">
        <f>IF(A177="","",MAX(0,C177-H177))</f>
        <v>126356.76818945815</v>
      </c>
      <c r="J177" s="35">
        <f>IF(A177="","",D177+H177)</f>
        <v>843.20806745890104</v>
      </c>
    </row>
    <row r="178" spans="1:10" ht="15" customHeight="1">
      <c r="A178" s="32">
        <f>IF(173&lt;=Datos!$B$13,173,"")</f>
        <v>173</v>
      </c>
      <c r="B178" s="44">
        <f>IF(A178="","",EDATE(Datos!$B$19,A178-1))</f>
        <v>51502</v>
      </c>
      <c r="C178" s="35">
        <f>IF(A178="","",I177)</f>
        <v>126356.76818945815</v>
      </c>
      <c r="D178" s="35">
        <f>IF(A178="","",C178*Datos!$B$17/Datos!$B$12)</f>
        <v>315.89192047364537</v>
      </c>
      <c r="E178" s="35">
        <f>IF(A178="","",MIN(Datos!$B$20,C178+D178))</f>
        <v>843.20806745890093</v>
      </c>
      <c r="F178" s="35">
        <f>IF(A178="","",MAX(0,E178-D178))</f>
        <v>527.3161469852555</v>
      </c>
      <c r="G178" s="36">
        <v>0</v>
      </c>
      <c r="H178" s="35">
        <f>IF(A178="","",MIN(C178,F178+G178))</f>
        <v>527.3161469852555</v>
      </c>
      <c r="I178" s="35">
        <f>IF(A178="","",MAX(0,C178-H178))</f>
        <v>125829.4520424729</v>
      </c>
      <c r="J178" s="35">
        <f>IF(A178="","",D178+H178)</f>
        <v>843.20806745890081</v>
      </c>
    </row>
    <row r="179" spans="1:10" ht="15" customHeight="1">
      <c r="A179" s="32">
        <f>IF(174&lt;=Datos!$B$13,174,"")</f>
        <v>174</v>
      </c>
      <c r="B179" s="44">
        <f>IF(A179="","",EDATE(Datos!$B$19,A179-1))</f>
        <v>51533</v>
      </c>
      <c r="C179" s="35">
        <f>IF(A179="","",I178)</f>
        <v>125829.4520424729</v>
      </c>
      <c r="D179" s="35">
        <f>IF(A179="","",C179*Datos!$B$17/Datos!$B$12)</f>
        <v>314.57363010618224</v>
      </c>
      <c r="E179" s="35">
        <f>IF(A179="","",MIN(Datos!$B$20,C179+D179))</f>
        <v>843.20806745890093</v>
      </c>
      <c r="F179" s="35">
        <f>IF(A179="","",MAX(0,E179-D179))</f>
        <v>528.63443735271869</v>
      </c>
      <c r="G179" s="36">
        <v>0</v>
      </c>
      <c r="H179" s="35">
        <f>IF(A179="","",MIN(C179,F179+G179))</f>
        <v>528.63443735271869</v>
      </c>
      <c r="I179" s="35">
        <f>IF(A179="","",MAX(0,C179-H179))</f>
        <v>125300.81760512017</v>
      </c>
      <c r="J179" s="35">
        <f>IF(A179="","",D179+H179)</f>
        <v>843.20806745890093</v>
      </c>
    </row>
    <row r="180" spans="1:10" ht="15" customHeight="1">
      <c r="A180" s="32">
        <f>IF(175&lt;=Datos!$B$13,175,"")</f>
        <v>175</v>
      </c>
      <c r="B180" s="44">
        <f>IF(A180="","",EDATE(Datos!$B$19,A180-1))</f>
        <v>51561</v>
      </c>
      <c r="C180" s="35">
        <f>IF(A180="","",I179)</f>
        <v>125300.81760512017</v>
      </c>
      <c r="D180" s="35">
        <f>IF(A180="","",C180*Datos!$B$17/Datos!$B$12)</f>
        <v>313.25204401280041</v>
      </c>
      <c r="E180" s="35">
        <f>IF(A180="","",MIN(Datos!$B$20,C180+D180))</f>
        <v>843.20806745890093</v>
      </c>
      <c r="F180" s="35">
        <f>IF(A180="","",MAX(0,E180-D180))</f>
        <v>529.95602344610052</v>
      </c>
      <c r="G180" s="36">
        <v>0</v>
      </c>
      <c r="H180" s="35">
        <f>IF(A180="","",MIN(C180,F180+G180))</f>
        <v>529.95602344610052</v>
      </c>
      <c r="I180" s="35">
        <f>IF(A180="","",MAX(0,C180-H180))</f>
        <v>124770.86158167408</v>
      </c>
      <c r="J180" s="35">
        <f>IF(A180="","",D180+H180)</f>
        <v>843.20806745890093</v>
      </c>
    </row>
    <row r="181" spans="1:10" ht="15" customHeight="1">
      <c r="A181" s="32">
        <f>IF(176&lt;=Datos!$B$13,176,"")</f>
        <v>176</v>
      </c>
      <c r="B181" s="44">
        <f>IF(A181="","",EDATE(Datos!$B$19,A181-1))</f>
        <v>51592</v>
      </c>
      <c r="C181" s="35">
        <f>IF(A181="","",I180)</f>
        <v>124770.86158167408</v>
      </c>
      <c r="D181" s="35">
        <f>IF(A181="","",C181*Datos!$B$17/Datos!$B$12)</f>
        <v>311.9271539541852</v>
      </c>
      <c r="E181" s="35">
        <f>IF(A181="","",MIN(Datos!$B$20,C181+D181))</f>
        <v>843.20806745890093</v>
      </c>
      <c r="F181" s="35">
        <f>IF(A181="","",MAX(0,E181-D181))</f>
        <v>531.28091350471573</v>
      </c>
      <c r="G181" s="36">
        <v>0</v>
      </c>
      <c r="H181" s="35">
        <f>IF(A181="","",MIN(C181,F181+G181))</f>
        <v>531.28091350471573</v>
      </c>
      <c r="I181" s="35">
        <f>IF(A181="","",MAX(0,C181-H181))</f>
        <v>124239.58066816936</v>
      </c>
      <c r="J181" s="35">
        <f>IF(A181="","",D181+H181)</f>
        <v>843.20806745890093</v>
      </c>
    </row>
    <row r="182" spans="1:10" ht="15" customHeight="1">
      <c r="A182" s="32">
        <f>IF(177&lt;=Datos!$B$13,177,"")</f>
        <v>177</v>
      </c>
      <c r="B182" s="44">
        <f>IF(A182="","",EDATE(Datos!$B$19,A182-1))</f>
        <v>51622</v>
      </c>
      <c r="C182" s="35">
        <f>IF(A182="","",I181)</f>
        <v>124239.58066816936</v>
      </c>
      <c r="D182" s="35">
        <f>IF(A182="","",C182*Datos!$B$17/Datos!$B$12)</f>
        <v>310.59895167042339</v>
      </c>
      <c r="E182" s="35">
        <f>IF(A182="","",MIN(Datos!$B$20,C182+D182))</f>
        <v>843.20806745890093</v>
      </c>
      <c r="F182" s="35">
        <f>IF(A182="","",MAX(0,E182-D182))</f>
        <v>532.60911578847754</v>
      </c>
      <c r="G182" s="36">
        <v>0</v>
      </c>
      <c r="H182" s="35">
        <f>IF(A182="","",MIN(C182,F182+G182))</f>
        <v>532.60911578847754</v>
      </c>
      <c r="I182" s="35">
        <f>IF(A182="","",MAX(0,C182-H182))</f>
        <v>123706.97155238088</v>
      </c>
      <c r="J182" s="35">
        <f>IF(A182="","",D182+H182)</f>
        <v>843.20806745890093</v>
      </c>
    </row>
    <row r="183" spans="1:10" ht="15" customHeight="1">
      <c r="A183" s="32">
        <f>IF(178&lt;=Datos!$B$13,178,"")</f>
        <v>178</v>
      </c>
      <c r="B183" s="44">
        <f>IF(A183="","",EDATE(Datos!$B$19,A183-1))</f>
        <v>51653</v>
      </c>
      <c r="C183" s="35">
        <f>IF(A183="","",I182)</f>
        <v>123706.97155238088</v>
      </c>
      <c r="D183" s="35">
        <f>IF(A183="","",C183*Datos!$B$17/Datos!$B$12)</f>
        <v>309.2674288809522</v>
      </c>
      <c r="E183" s="35">
        <f>IF(A183="","",MIN(Datos!$B$20,C183+D183))</f>
        <v>843.20806745890093</v>
      </c>
      <c r="F183" s="35">
        <f>IF(A183="","",MAX(0,E183-D183))</f>
        <v>533.94063857794868</v>
      </c>
      <c r="G183" s="36">
        <v>0</v>
      </c>
      <c r="H183" s="35">
        <f>IF(A183="","",MIN(C183,F183+G183))</f>
        <v>533.94063857794868</v>
      </c>
      <c r="I183" s="35">
        <f>IF(A183="","",MAX(0,C183-H183))</f>
        <v>123173.03091380294</v>
      </c>
      <c r="J183" s="35">
        <f>IF(A183="","",D183+H183)</f>
        <v>843.20806745890081</v>
      </c>
    </row>
    <row r="184" spans="1:10" ht="15" customHeight="1">
      <c r="A184" s="32">
        <f>IF(179&lt;=Datos!$B$13,179,"")</f>
        <v>179</v>
      </c>
      <c r="B184" s="44">
        <f>IF(A184="","",EDATE(Datos!$B$19,A184-1))</f>
        <v>51683</v>
      </c>
      <c r="C184" s="35">
        <f>IF(A184="","",I183)</f>
        <v>123173.03091380294</v>
      </c>
      <c r="D184" s="35">
        <f>IF(A184="","",C184*Datos!$B$17/Datos!$B$12)</f>
        <v>307.93257728450732</v>
      </c>
      <c r="E184" s="35">
        <f>IF(A184="","",MIN(Datos!$B$20,C184+D184))</f>
        <v>843.20806745890093</v>
      </c>
      <c r="F184" s="35">
        <f>IF(A184="","",MAX(0,E184-D184))</f>
        <v>535.27549017439355</v>
      </c>
      <c r="G184" s="36">
        <v>0</v>
      </c>
      <c r="H184" s="35">
        <f>IF(A184="","",MIN(C184,F184+G184))</f>
        <v>535.27549017439355</v>
      </c>
      <c r="I184" s="35">
        <f>IF(A184="","",MAX(0,C184-H184))</f>
        <v>122637.75542362855</v>
      </c>
      <c r="J184" s="35">
        <f>IF(A184="","",D184+H184)</f>
        <v>843.20806745890081</v>
      </c>
    </row>
    <row r="185" spans="1:10" ht="15" customHeight="1">
      <c r="A185" s="32">
        <f>IF(180&lt;=Datos!$B$13,180,"")</f>
        <v>180</v>
      </c>
      <c r="B185" s="44">
        <f>IF(A185="","",EDATE(Datos!$B$19,A185-1))</f>
        <v>51714</v>
      </c>
      <c r="C185" s="35">
        <f>IF(A185="","",I184)</f>
        <v>122637.75542362855</v>
      </c>
      <c r="D185" s="35">
        <f>IF(A185="","",C185*Datos!$B$17/Datos!$B$12)</f>
        <v>306.59438855907138</v>
      </c>
      <c r="E185" s="35">
        <f>IF(A185="","",MIN(Datos!$B$20,C185+D185))</f>
        <v>843.20806745890093</v>
      </c>
      <c r="F185" s="35">
        <f>IF(A185="","",MAX(0,E185-D185))</f>
        <v>536.61367889982955</v>
      </c>
      <c r="G185" s="36">
        <v>0</v>
      </c>
      <c r="H185" s="35">
        <f>IF(A185="","",MIN(C185,F185+G185))</f>
        <v>536.61367889982955</v>
      </c>
      <c r="I185" s="35">
        <f>IF(A185="","",MAX(0,C185-H185))</f>
        <v>122101.14174472872</v>
      </c>
      <c r="J185" s="35">
        <f>IF(A185="","",D185+H185)</f>
        <v>843.20806745890093</v>
      </c>
    </row>
    <row r="186" spans="1:10" ht="15" customHeight="1">
      <c r="A186" s="32">
        <f>IF(181&lt;=Datos!$B$13,181,"")</f>
        <v>181</v>
      </c>
      <c r="B186" s="44">
        <f>IF(A186="","",EDATE(Datos!$B$19,A186-1))</f>
        <v>51745</v>
      </c>
      <c r="C186" s="35">
        <f>IF(A186="","",I185)</f>
        <v>122101.14174472872</v>
      </c>
      <c r="D186" s="35">
        <f>IF(A186="","",C186*Datos!$B$17/Datos!$B$12)</f>
        <v>305.25285436182179</v>
      </c>
      <c r="E186" s="35">
        <f>IF(A186="","",MIN(Datos!$B$20,C186+D186))</f>
        <v>843.20806745890093</v>
      </c>
      <c r="F186" s="35">
        <f>IF(A186="","",MAX(0,E186-D186))</f>
        <v>537.95521309707919</v>
      </c>
      <c r="G186" s="36">
        <v>0</v>
      </c>
      <c r="H186" s="35">
        <f>IF(A186="","",MIN(C186,F186+G186))</f>
        <v>537.95521309707919</v>
      </c>
      <c r="I186" s="35">
        <f>IF(A186="","",MAX(0,C186-H186))</f>
        <v>121563.18653163164</v>
      </c>
      <c r="J186" s="35">
        <f>IF(A186="","",D186+H186)</f>
        <v>843.20806745890104</v>
      </c>
    </row>
    <row r="187" spans="1:10" ht="15" customHeight="1">
      <c r="A187" s="32">
        <f>IF(182&lt;=Datos!$B$13,182,"")</f>
        <v>182</v>
      </c>
      <c r="B187" s="44">
        <f>IF(A187="","",EDATE(Datos!$B$19,A187-1))</f>
        <v>51775</v>
      </c>
      <c r="C187" s="35">
        <f>IF(A187="","",I186)</f>
        <v>121563.18653163164</v>
      </c>
      <c r="D187" s="35">
        <f>IF(A187="","",C187*Datos!$B$17/Datos!$B$12)</f>
        <v>303.9079663290791</v>
      </c>
      <c r="E187" s="35">
        <f>IF(A187="","",MIN(Datos!$B$20,C187+D187))</f>
        <v>843.20806745890093</v>
      </c>
      <c r="F187" s="35">
        <f>IF(A187="","",MAX(0,E187-D187))</f>
        <v>539.30010112982177</v>
      </c>
      <c r="G187" s="36">
        <v>0</v>
      </c>
      <c r="H187" s="35">
        <f>IF(A187="","",MIN(C187,F187+G187))</f>
        <v>539.30010112982177</v>
      </c>
      <c r="I187" s="35">
        <f>IF(A187="","",MAX(0,C187-H187))</f>
        <v>121023.88643050182</v>
      </c>
      <c r="J187" s="35">
        <f>IF(A187="","",D187+H187)</f>
        <v>843.20806745890081</v>
      </c>
    </row>
    <row r="188" spans="1:10" ht="15" customHeight="1">
      <c r="A188" s="32">
        <f>IF(183&lt;=Datos!$B$13,183,"")</f>
        <v>183</v>
      </c>
      <c r="B188" s="44">
        <f>IF(A188="","",EDATE(Datos!$B$19,A188-1))</f>
        <v>51806</v>
      </c>
      <c r="C188" s="35">
        <f>IF(A188="","",I187)</f>
        <v>121023.88643050182</v>
      </c>
      <c r="D188" s="35">
        <f>IF(A188="","",C188*Datos!$B$17/Datos!$B$12)</f>
        <v>302.55971607625457</v>
      </c>
      <c r="E188" s="35">
        <f>IF(A188="","",MIN(Datos!$B$20,C188+D188))</f>
        <v>843.20806745890093</v>
      </c>
      <c r="F188" s="35">
        <f>IF(A188="","",MAX(0,E188-D188))</f>
        <v>540.6483513826463</v>
      </c>
      <c r="G188" s="36">
        <v>0</v>
      </c>
      <c r="H188" s="35">
        <f>IF(A188="","",MIN(C188,F188+G188))</f>
        <v>540.6483513826463</v>
      </c>
      <c r="I188" s="35">
        <f>IF(A188="","",MAX(0,C188-H188))</f>
        <v>120483.23807911917</v>
      </c>
      <c r="J188" s="35">
        <f>IF(A188="","",D188+H188)</f>
        <v>843.20806745890081</v>
      </c>
    </row>
    <row r="189" spans="1:10" ht="15" customHeight="1">
      <c r="A189" s="32">
        <f>IF(184&lt;=Datos!$B$13,184,"")</f>
        <v>184</v>
      </c>
      <c r="B189" s="44">
        <f>IF(A189="","",EDATE(Datos!$B$19,A189-1))</f>
        <v>51836</v>
      </c>
      <c r="C189" s="35">
        <f>IF(A189="","",I188)</f>
        <v>120483.23807911917</v>
      </c>
      <c r="D189" s="35">
        <f>IF(A189="","",C189*Datos!$B$17/Datos!$B$12)</f>
        <v>301.20809519779795</v>
      </c>
      <c r="E189" s="35">
        <f>IF(A189="","",MIN(Datos!$B$20,C189+D189))</f>
        <v>843.20806745890093</v>
      </c>
      <c r="F189" s="35">
        <f>IF(A189="","",MAX(0,E189-D189))</f>
        <v>541.99997226110304</v>
      </c>
      <c r="G189" s="36">
        <v>0</v>
      </c>
      <c r="H189" s="35">
        <f>IF(A189="","",MIN(C189,F189+G189))</f>
        <v>541.99997226110304</v>
      </c>
      <c r="I189" s="35">
        <f>IF(A189="","",MAX(0,C189-H189))</f>
        <v>119941.23810685806</v>
      </c>
      <c r="J189" s="35">
        <f>IF(A189="","",D189+H189)</f>
        <v>843.20806745890104</v>
      </c>
    </row>
    <row r="190" spans="1:10" ht="15" customHeight="1">
      <c r="A190" s="32">
        <f>IF(185&lt;=Datos!$B$13,185,"")</f>
        <v>185</v>
      </c>
      <c r="B190" s="44">
        <f>IF(A190="","",EDATE(Datos!$B$19,A190-1))</f>
        <v>51867</v>
      </c>
      <c r="C190" s="35">
        <f>IF(A190="","",I189)</f>
        <v>119941.23810685806</v>
      </c>
      <c r="D190" s="35">
        <f>IF(A190="","",C190*Datos!$B$17/Datos!$B$12)</f>
        <v>299.85309526714514</v>
      </c>
      <c r="E190" s="35">
        <f>IF(A190="","",MIN(Datos!$B$20,C190+D190))</f>
        <v>843.20806745890093</v>
      </c>
      <c r="F190" s="35">
        <f>IF(A190="","",MAX(0,E190-D190))</f>
        <v>543.35497219175579</v>
      </c>
      <c r="G190" s="36">
        <v>0</v>
      </c>
      <c r="H190" s="35">
        <f>IF(A190="","",MIN(C190,F190+G190))</f>
        <v>543.35497219175579</v>
      </c>
      <c r="I190" s="35">
        <f>IF(A190="","",MAX(0,C190-H190))</f>
        <v>119397.88313466631</v>
      </c>
      <c r="J190" s="35">
        <f>IF(A190="","",D190+H190)</f>
        <v>843.20806745890093</v>
      </c>
    </row>
    <row r="191" spans="1:10" ht="15" customHeight="1">
      <c r="A191" s="32">
        <f>IF(186&lt;=Datos!$B$13,186,"")</f>
        <v>186</v>
      </c>
      <c r="B191" s="44">
        <f>IF(A191="","",EDATE(Datos!$B$19,A191-1))</f>
        <v>51898</v>
      </c>
      <c r="C191" s="35">
        <f>IF(A191="","",I190)</f>
        <v>119397.88313466631</v>
      </c>
      <c r="D191" s="35">
        <f>IF(A191="","",C191*Datos!$B$17/Datos!$B$12)</f>
        <v>298.49470783666578</v>
      </c>
      <c r="E191" s="35">
        <f>IF(A191="","",MIN(Datos!$B$20,C191+D191))</f>
        <v>843.20806745890093</v>
      </c>
      <c r="F191" s="35">
        <f>IF(A191="","",MAX(0,E191-D191))</f>
        <v>544.7133596222352</v>
      </c>
      <c r="G191" s="36">
        <v>0</v>
      </c>
      <c r="H191" s="35">
        <f>IF(A191="","",MIN(C191,F191+G191))</f>
        <v>544.7133596222352</v>
      </c>
      <c r="I191" s="35">
        <f>IF(A191="","",MAX(0,C191-H191))</f>
        <v>118853.16977504407</v>
      </c>
      <c r="J191" s="35">
        <f>IF(A191="","",D191+H191)</f>
        <v>843.20806745890104</v>
      </c>
    </row>
    <row r="192" spans="1:10" ht="15" customHeight="1">
      <c r="A192" s="32">
        <f>IF(187&lt;=Datos!$B$13,187,"")</f>
        <v>187</v>
      </c>
      <c r="B192" s="44">
        <f>IF(A192="","",EDATE(Datos!$B$19,A192-1))</f>
        <v>51926</v>
      </c>
      <c r="C192" s="35">
        <f>IF(A192="","",I191)</f>
        <v>118853.16977504407</v>
      </c>
      <c r="D192" s="35">
        <f>IF(A192="","",C192*Datos!$B$17/Datos!$B$12)</f>
        <v>297.13292443761014</v>
      </c>
      <c r="E192" s="35">
        <f>IF(A192="","",MIN(Datos!$B$20,C192+D192))</f>
        <v>843.20806745890093</v>
      </c>
      <c r="F192" s="35">
        <f>IF(A192="","",MAX(0,E192-D192))</f>
        <v>546.07514302129084</v>
      </c>
      <c r="G192" s="36">
        <v>0</v>
      </c>
      <c r="H192" s="35">
        <f>IF(A192="","",MIN(C192,F192+G192))</f>
        <v>546.07514302129084</v>
      </c>
      <c r="I192" s="35">
        <f>IF(A192="","",MAX(0,C192-H192))</f>
        <v>118307.09463202278</v>
      </c>
      <c r="J192" s="35">
        <f>IF(A192="","",D192+H192)</f>
        <v>843.20806745890104</v>
      </c>
    </row>
    <row r="193" spans="1:10" ht="15" customHeight="1">
      <c r="A193" s="32">
        <f>IF(188&lt;=Datos!$B$13,188,"")</f>
        <v>188</v>
      </c>
      <c r="B193" s="44">
        <f>IF(A193="","",EDATE(Datos!$B$19,A193-1))</f>
        <v>51957</v>
      </c>
      <c r="C193" s="35">
        <f>IF(A193="","",I192)</f>
        <v>118307.09463202278</v>
      </c>
      <c r="D193" s="35">
        <f>IF(A193="","",C193*Datos!$B$17/Datos!$B$12)</f>
        <v>295.76773658005692</v>
      </c>
      <c r="E193" s="35">
        <f>IF(A193="","",MIN(Datos!$B$20,C193+D193))</f>
        <v>843.20806745890093</v>
      </c>
      <c r="F193" s="35">
        <f>IF(A193="","",MAX(0,E193-D193))</f>
        <v>547.44033087884395</v>
      </c>
      <c r="G193" s="36">
        <v>0</v>
      </c>
      <c r="H193" s="35">
        <f>IF(A193="","",MIN(C193,F193+G193))</f>
        <v>547.44033087884395</v>
      </c>
      <c r="I193" s="35">
        <f>IF(A193="","",MAX(0,C193-H193))</f>
        <v>117759.65430114394</v>
      </c>
      <c r="J193" s="35">
        <f>IF(A193="","",D193+H193)</f>
        <v>843.20806745890081</v>
      </c>
    </row>
    <row r="194" spans="1:10" ht="15" customHeight="1">
      <c r="A194" s="32">
        <f>IF(189&lt;=Datos!$B$13,189,"")</f>
        <v>189</v>
      </c>
      <c r="B194" s="44">
        <f>IF(A194="","",EDATE(Datos!$B$19,A194-1))</f>
        <v>51987</v>
      </c>
      <c r="C194" s="35">
        <f>IF(A194="","",I193)</f>
        <v>117759.65430114394</v>
      </c>
      <c r="D194" s="35">
        <f>IF(A194="","",C194*Datos!$B$17/Datos!$B$12)</f>
        <v>294.39913575285982</v>
      </c>
      <c r="E194" s="35">
        <f>IF(A194="","",MIN(Datos!$B$20,C194+D194))</f>
        <v>843.20806745890093</v>
      </c>
      <c r="F194" s="35">
        <f>IF(A194="","",MAX(0,E194-D194))</f>
        <v>548.80893170604111</v>
      </c>
      <c r="G194" s="36">
        <v>0</v>
      </c>
      <c r="H194" s="35">
        <f>IF(A194="","",MIN(C194,F194+G194))</f>
        <v>548.80893170604111</v>
      </c>
      <c r="I194" s="35">
        <f>IF(A194="","",MAX(0,C194-H194))</f>
        <v>117210.8453694379</v>
      </c>
      <c r="J194" s="35">
        <f>IF(A194="","",D194+H194)</f>
        <v>843.20806745890093</v>
      </c>
    </row>
    <row r="195" spans="1:10" ht="15" customHeight="1">
      <c r="A195" s="32">
        <f>IF(190&lt;=Datos!$B$13,190,"")</f>
        <v>190</v>
      </c>
      <c r="B195" s="44">
        <f>IF(A195="","",EDATE(Datos!$B$19,A195-1))</f>
        <v>52018</v>
      </c>
      <c r="C195" s="35">
        <f>IF(A195="","",I194)</f>
        <v>117210.8453694379</v>
      </c>
      <c r="D195" s="35">
        <f>IF(A195="","",C195*Datos!$B$17/Datos!$B$12)</f>
        <v>293.0271134235947</v>
      </c>
      <c r="E195" s="35">
        <f>IF(A195="","",MIN(Datos!$B$20,C195+D195))</f>
        <v>843.20806745890093</v>
      </c>
      <c r="F195" s="35">
        <f>IF(A195="","",MAX(0,E195-D195))</f>
        <v>550.18095403530629</v>
      </c>
      <c r="G195" s="36">
        <v>0</v>
      </c>
      <c r="H195" s="35">
        <f>IF(A195="","",MIN(C195,F195+G195))</f>
        <v>550.18095403530629</v>
      </c>
      <c r="I195" s="35">
        <f>IF(A195="","",MAX(0,C195-H195))</f>
        <v>116660.66441540259</v>
      </c>
      <c r="J195" s="35">
        <f>IF(A195="","",D195+H195)</f>
        <v>843.20806745890104</v>
      </c>
    </row>
    <row r="196" spans="1:10" ht="15" customHeight="1">
      <c r="A196" s="32">
        <f>IF(191&lt;=Datos!$B$13,191,"")</f>
        <v>191</v>
      </c>
      <c r="B196" s="44">
        <f>IF(A196="","",EDATE(Datos!$B$19,A196-1))</f>
        <v>52048</v>
      </c>
      <c r="C196" s="35">
        <f>IF(A196="","",I195)</f>
        <v>116660.66441540259</v>
      </c>
      <c r="D196" s="35">
        <f>IF(A196="","",C196*Datos!$B$17/Datos!$B$12)</f>
        <v>291.65166103850646</v>
      </c>
      <c r="E196" s="35">
        <f>IF(A196="","",MIN(Datos!$B$20,C196+D196))</f>
        <v>843.20806745890093</v>
      </c>
      <c r="F196" s="35">
        <f>IF(A196="","",MAX(0,E196-D196))</f>
        <v>551.55640642039452</v>
      </c>
      <c r="G196" s="36">
        <v>0</v>
      </c>
      <c r="H196" s="35">
        <f>IF(A196="","",MIN(C196,F196+G196))</f>
        <v>551.55640642039452</v>
      </c>
      <c r="I196" s="35">
        <f>IF(A196="","",MAX(0,C196-H196))</f>
        <v>116109.10800898219</v>
      </c>
      <c r="J196" s="35">
        <f>IF(A196="","",D196+H196)</f>
        <v>843.20806745890104</v>
      </c>
    </row>
    <row r="197" spans="1:10" ht="15" customHeight="1">
      <c r="A197" s="32">
        <f>IF(192&lt;=Datos!$B$13,192,"")</f>
        <v>192</v>
      </c>
      <c r="B197" s="44">
        <f>IF(A197="","",EDATE(Datos!$B$19,A197-1))</f>
        <v>52079</v>
      </c>
      <c r="C197" s="35">
        <f>IF(A197="","",I196)</f>
        <v>116109.10800898219</v>
      </c>
      <c r="D197" s="35">
        <f>IF(A197="","",C197*Datos!$B$17/Datos!$B$12)</f>
        <v>290.27277002245546</v>
      </c>
      <c r="E197" s="35">
        <f>IF(A197="","",MIN(Datos!$B$20,C197+D197))</f>
        <v>843.20806745890093</v>
      </c>
      <c r="F197" s="35">
        <f>IF(A197="","",MAX(0,E197-D197))</f>
        <v>552.93529743644547</v>
      </c>
      <c r="G197" s="36">
        <v>0</v>
      </c>
      <c r="H197" s="35">
        <f>IF(A197="","",MIN(C197,F197+G197))</f>
        <v>552.93529743644547</v>
      </c>
      <c r="I197" s="35">
        <f>IF(A197="","",MAX(0,C197-H197))</f>
        <v>115556.17271154575</v>
      </c>
      <c r="J197" s="35">
        <f>IF(A197="","",D197+H197)</f>
        <v>843.20806745890093</v>
      </c>
    </row>
    <row r="198" spans="1:10" ht="15" customHeight="1">
      <c r="A198" s="32">
        <f>IF(193&lt;=Datos!$B$13,193,"")</f>
        <v>193</v>
      </c>
      <c r="B198" s="44">
        <f>IF(A198="","",EDATE(Datos!$B$19,A198-1))</f>
        <v>52110</v>
      </c>
      <c r="C198" s="35">
        <f>IF(A198="","",I197)</f>
        <v>115556.17271154575</v>
      </c>
      <c r="D198" s="35">
        <f>IF(A198="","",C198*Datos!$B$17/Datos!$B$12)</f>
        <v>288.89043177886435</v>
      </c>
      <c r="E198" s="35">
        <f>IF(A198="","",MIN(Datos!$B$20,C198+D198))</f>
        <v>843.20806745890093</v>
      </c>
      <c r="F198" s="35">
        <f>IF(A198="","",MAX(0,E198-D198))</f>
        <v>554.31763568003657</v>
      </c>
      <c r="G198" s="36">
        <v>0</v>
      </c>
      <c r="H198" s="35">
        <f>IF(A198="","",MIN(C198,F198+G198))</f>
        <v>554.31763568003657</v>
      </c>
      <c r="I198" s="35">
        <f>IF(A198="","",MAX(0,C198-H198))</f>
        <v>115001.85507586571</v>
      </c>
      <c r="J198" s="35">
        <f>IF(A198="","",D198+H198)</f>
        <v>843.20806745890093</v>
      </c>
    </row>
    <row r="199" spans="1:10" ht="15" customHeight="1">
      <c r="A199" s="32">
        <f>IF(194&lt;=Datos!$B$13,194,"")</f>
        <v>194</v>
      </c>
      <c r="B199" s="44">
        <f>IF(A199="","",EDATE(Datos!$B$19,A199-1))</f>
        <v>52140</v>
      </c>
      <c r="C199" s="35">
        <f>IF(A199="","",I198)</f>
        <v>115001.85507586571</v>
      </c>
      <c r="D199" s="35">
        <f>IF(A199="","",C199*Datos!$B$17/Datos!$B$12)</f>
        <v>287.50463768966426</v>
      </c>
      <c r="E199" s="35">
        <f>IF(A199="","",MIN(Datos!$B$20,C199+D199))</f>
        <v>843.20806745890093</v>
      </c>
      <c r="F199" s="35">
        <f>IF(A199="","",MAX(0,E199-D199))</f>
        <v>555.70342976923666</v>
      </c>
      <c r="G199" s="36">
        <v>0</v>
      </c>
      <c r="H199" s="35">
        <f>IF(A199="","",MIN(C199,F199+G199))</f>
        <v>555.70342976923666</v>
      </c>
      <c r="I199" s="35">
        <f>IF(A199="","",MAX(0,C199-H199))</f>
        <v>114446.15164609648</v>
      </c>
      <c r="J199" s="35">
        <f>IF(A199="","",D199+H199)</f>
        <v>843.20806745890093</v>
      </c>
    </row>
    <row r="200" spans="1:10" ht="15" customHeight="1">
      <c r="A200" s="32">
        <f>IF(195&lt;=Datos!$B$13,195,"")</f>
        <v>195</v>
      </c>
      <c r="B200" s="44">
        <f>IF(A200="","",EDATE(Datos!$B$19,A200-1))</f>
        <v>52171</v>
      </c>
      <c r="C200" s="35">
        <f>IF(A200="","",I199)</f>
        <v>114446.15164609648</v>
      </c>
      <c r="D200" s="35">
        <f>IF(A200="","",C200*Datos!$B$17/Datos!$B$12)</f>
        <v>286.11537911524118</v>
      </c>
      <c r="E200" s="35">
        <f>IF(A200="","",MIN(Datos!$B$20,C200+D200))</f>
        <v>843.20806745890093</v>
      </c>
      <c r="F200" s="35">
        <f>IF(A200="","",MAX(0,E200-D200))</f>
        <v>557.0926883436598</v>
      </c>
      <c r="G200" s="36">
        <v>0</v>
      </c>
      <c r="H200" s="35">
        <f>IF(A200="","",MIN(C200,F200+G200))</f>
        <v>557.0926883436598</v>
      </c>
      <c r="I200" s="35">
        <f>IF(A200="","",MAX(0,C200-H200))</f>
        <v>113889.05895775282</v>
      </c>
      <c r="J200" s="35">
        <f>IF(A200="","",D200+H200)</f>
        <v>843.20806745890104</v>
      </c>
    </row>
    <row r="201" spans="1:10" ht="15" customHeight="1">
      <c r="A201" s="32">
        <f>IF(196&lt;=Datos!$B$13,196,"")</f>
        <v>196</v>
      </c>
      <c r="B201" s="44">
        <f>IF(A201="","",EDATE(Datos!$B$19,A201-1))</f>
        <v>52201</v>
      </c>
      <c r="C201" s="35">
        <f>IF(A201="","",I200)</f>
        <v>113889.05895775282</v>
      </c>
      <c r="D201" s="35">
        <f>IF(A201="","",C201*Datos!$B$17/Datos!$B$12)</f>
        <v>284.72264739438202</v>
      </c>
      <c r="E201" s="35">
        <f>IF(A201="","",MIN(Datos!$B$20,C201+D201))</f>
        <v>843.20806745890093</v>
      </c>
      <c r="F201" s="35">
        <f>IF(A201="","",MAX(0,E201-D201))</f>
        <v>558.48542006451885</v>
      </c>
      <c r="G201" s="36">
        <v>0</v>
      </c>
      <c r="H201" s="35">
        <f>IF(A201="","",MIN(C201,F201+G201))</f>
        <v>558.48542006451885</v>
      </c>
      <c r="I201" s="35">
        <f>IF(A201="","",MAX(0,C201-H201))</f>
        <v>113330.57353768829</v>
      </c>
      <c r="J201" s="35">
        <f>IF(A201="","",D201+H201)</f>
        <v>843.20806745890081</v>
      </c>
    </row>
    <row r="202" spans="1:10" ht="15" customHeight="1">
      <c r="A202" s="32">
        <f>IF(197&lt;=Datos!$B$13,197,"")</f>
        <v>197</v>
      </c>
      <c r="B202" s="44">
        <f>IF(A202="","",EDATE(Datos!$B$19,A202-1))</f>
        <v>52232</v>
      </c>
      <c r="C202" s="35">
        <f>IF(A202="","",I201)</f>
        <v>113330.57353768829</v>
      </c>
      <c r="D202" s="35">
        <f>IF(A202="","",C202*Datos!$B$17/Datos!$B$12)</f>
        <v>283.32643384422073</v>
      </c>
      <c r="E202" s="35">
        <f>IF(A202="","",MIN(Datos!$B$20,C202+D202))</f>
        <v>843.20806745890093</v>
      </c>
      <c r="F202" s="35">
        <f>IF(A202="","",MAX(0,E202-D202))</f>
        <v>559.88163361468014</v>
      </c>
      <c r="G202" s="36">
        <v>0</v>
      </c>
      <c r="H202" s="35">
        <f>IF(A202="","",MIN(C202,F202+G202))</f>
        <v>559.88163361468014</v>
      </c>
      <c r="I202" s="35">
        <f>IF(A202="","",MAX(0,C202-H202))</f>
        <v>112770.69190407361</v>
      </c>
      <c r="J202" s="35">
        <f>IF(A202="","",D202+H202)</f>
        <v>843.20806745890081</v>
      </c>
    </row>
    <row r="203" spans="1:10" ht="15" customHeight="1">
      <c r="A203" s="32">
        <f>IF(198&lt;=Datos!$B$13,198,"")</f>
        <v>198</v>
      </c>
      <c r="B203" s="44">
        <f>IF(A203="","",EDATE(Datos!$B$19,A203-1))</f>
        <v>52263</v>
      </c>
      <c r="C203" s="35">
        <f>IF(A203="","",I202)</f>
        <v>112770.69190407361</v>
      </c>
      <c r="D203" s="35">
        <f>IF(A203="","",C203*Datos!$B$17/Datos!$B$12)</f>
        <v>281.926729760184</v>
      </c>
      <c r="E203" s="35">
        <f>IF(A203="","",MIN(Datos!$B$20,C203+D203))</f>
        <v>843.20806745890093</v>
      </c>
      <c r="F203" s="35">
        <f>IF(A203="","",MAX(0,E203-D203))</f>
        <v>561.28133769871692</v>
      </c>
      <c r="G203" s="36">
        <v>0</v>
      </c>
      <c r="H203" s="35">
        <f>IF(A203="","",MIN(C203,F203+G203))</f>
        <v>561.28133769871692</v>
      </c>
      <c r="I203" s="35">
        <f>IF(A203="","",MAX(0,C203-H203))</f>
        <v>112209.41056637489</v>
      </c>
      <c r="J203" s="35">
        <f>IF(A203="","",D203+H203)</f>
        <v>843.20806745890093</v>
      </c>
    </row>
    <row r="204" spans="1:10" ht="15" customHeight="1">
      <c r="A204" s="32">
        <f>IF(199&lt;=Datos!$B$13,199,"")</f>
        <v>199</v>
      </c>
      <c r="B204" s="44">
        <f>IF(A204="","",EDATE(Datos!$B$19,A204-1))</f>
        <v>52291</v>
      </c>
      <c r="C204" s="35">
        <f>IF(A204="","",I203)</f>
        <v>112209.41056637489</v>
      </c>
      <c r="D204" s="35">
        <f>IF(A204="","",C204*Datos!$B$17/Datos!$B$12)</f>
        <v>280.52352641593723</v>
      </c>
      <c r="E204" s="35">
        <f>IF(A204="","",MIN(Datos!$B$20,C204+D204))</f>
        <v>843.20806745890093</v>
      </c>
      <c r="F204" s="35">
        <f>IF(A204="","",MAX(0,E204-D204))</f>
        <v>562.6845410429637</v>
      </c>
      <c r="G204" s="36">
        <v>0</v>
      </c>
      <c r="H204" s="35">
        <f>IF(A204="","",MIN(C204,F204+G204))</f>
        <v>562.6845410429637</v>
      </c>
      <c r="I204" s="35">
        <f>IF(A204="","",MAX(0,C204-H204))</f>
        <v>111646.72602533193</v>
      </c>
      <c r="J204" s="35">
        <f>IF(A204="","",D204+H204)</f>
        <v>843.20806745890093</v>
      </c>
    </row>
    <row r="205" spans="1:10" ht="15" customHeight="1">
      <c r="A205" s="32">
        <f>IF(200&lt;=Datos!$B$13,200,"")</f>
        <v>200</v>
      </c>
      <c r="B205" s="44">
        <f>IF(A205="","",EDATE(Datos!$B$19,A205-1))</f>
        <v>52322</v>
      </c>
      <c r="C205" s="35">
        <f>IF(A205="","",I204)</f>
        <v>111646.72602533193</v>
      </c>
      <c r="D205" s="35">
        <f>IF(A205="","",C205*Datos!$B$17/Datos!$B$12)</f>
        <v>279.1168150633298</v>
      </c>
      <c r="E205" s="35">
        <f>IF(A205="","",MIN(Datos!$B$20,C205+D205))</f>
        <v>843.20806745890093</v>
      </c>
      <c r="F205" s="35">
        <f>IF(A205="","",MAX(0,E205-D205))</f>
        <v>564.09125239557113</v>
      </c>
      <c r="G205" s="36">
        <v>0</v>
      </c>
      <c r="H205" s="35">
        <f>IF(A205="","",MIN(C205,F205+G205))</f>
        <v>564.09125239557113</v>
      </c>
      <c r="I205" s="35">
        <f>IF(A205="","",MAX(0,C205-H205))</f>
        <v>111082.63477293635</v>
      </c>
      <c r="J205" s="35">
        <f>IF(A205="","",D205+H205)</f>
        <v>843.20806745890093</v>
      </c>
    </row>
    <row r="206" spans="1:10" ht="15" customHeight="1">
      <c r="A206" s="32">
        <f>IF(201&lt;=Datos!$B$13,201,"")</f>
        <v>201</v>
      </c>
      <c r="B206" s="44">
        <f>IF(A206="","",EDATE(Datos!$B$19,A206-1))</f>
        <v>52352</v>
      </c>
      <c r="C206" s="35">
        <f>IF(A206="","",I205)</f>
        <v>111082.63477293635</v>
      </c>
      <c r="D206" s="35">
        <f>IF(A206="","",C206*Datos!$B$17/Datos!$B$12)</f>
        <v>277.70658693234083</v>
      </c>
      <c r="E206" s="35">
        <f>IF(A206="","",MIN(Datos!$B$20,C206+D206))</f>
        <v>843.20806745890093</v>
      </c>
      <c r="F206" s="35">
        <f>IF(A206="","",MAX(0,E206-D206))</f>
        <v>565.50148052656004</v>
      </c>
      <c r="G206" s="36">
        <v>0</v>
      </c>
      <c r="H206" s="35">
        <f>IF(A206="","",MIN(C206,F206+G206))</f>
        <v>565.50148052656004</v>
      </c>
      <c r="I206" s="35">
        <f>IF(A206="","",MAX(0,C206-H206))</f>
        <v>110517.1332924098</v>
      </c>
      <c r="J206" s="35">
        <f>IF(A206="","",D206+H206)</f>
        <v>843.20806745890081</v>
      </c>
    </row>
    <row r="207" spans="1:10" ht="15" customHeight="1">
      <c r="A207" s="32">
        <f>IF(202&lt;=Datos!$B$13,202,"")</f>
        <v>202</v>
      </c>
      <c r="B207" s="44">
        <f>IF(A207="","",EDATE(Datos!$B$19,A207-1))</f>
        <v>52383</v>
      </c>
      <c r="C207" s="35">
        <f>IF(A207="","",I206)</f>
        <v>110517.1332924098</v>
      </c>
      <c r="D207" s="35">
        <f>IF(A207="","",C207*Datos!$B$17/Datos!$B$12)</f>
        <v>276.29283323102447</v>
      </c>
      <c r="E207" s="35">
        <f>IF(A207="","",MIN(Datos!$B$20,C207+D207))</f>
        <v>843.20806745890093</v>
      </c>
      <c r="F207" s="35">
        <f>IF(A207="","",MAX(0,E207-D207))</f>
        <v>566.91523422787645</v>
      </c>
      <c r="G207" s="36">
        <v>0</v>
      </c>
      <c r="H207" s="35">
        <f>IF(A207="","",MIN(C207,F207+G207))</f>
        <v>566.91523422787645</v>
      </c>
      <c r="I207" s="35">
        <f>IF(A207="","",MAX(0,C207-H207))</f>
        <v>109950.21805818191</v>
      </c>
      <c r="J207" s="35">
        <f>IF(A207="","",D207+H207)</f>
        <v>843.20806745890093</v>
      </c>
    </row>
    <row r="208" spans="1:10" ht="15" customHeight="1">
      <c r="A208" s="32">
        <f>IF(203&lt;=Datos!$B$13,203,"")</f>
        <v>203</v>
      </c>
      <c r="B208" s="44">
        <f>IF(A208="","",EDATE(Datos!$B$19,A208-1))</f>
        <v>52413</v>
      </c>
      <c r="C208" s="35">
        <f>IF(A208="","",I207)</f>
        <v>109950.21805818191</v>
      </c>
      <c r="D208" s="35">
        <f>IF(A208="","",C208*Datos!$B$17/Datos!$B$12)</f>
        <v>274.87554514545474</v>
      </c>
      <c r="E208" s="35">
        <f>IF(A208="","",MIN(Datos!$B$20,C208+D208))</f>
        <v>843.20806745890093</v>
      </c>
      <c r="F208" s="35">
        <f>IF(A208="","",MAX(0,E208-D208))</f>
        <v>568.33252231344613</v>
      </c>
      <c r="G208" s="36">
        <v>0</v>
      </c>
      <c r="H208" s="35">
        <f>IF(A208="","",MIN(C208,F208+G208))</f>
        <v>568.33252231344613</v>
      </c>
      <c r="I208" s="35">
        <f>IF(A208="","",MAX(0,C208-H208))</f>
        <v>109381.88553586847</v>
      </c>
      <c r="J208" s="35">
        <f>IF(A208="","",D208+H208)</f>
        <v>843.20806745890081</v>
      </c>
    </row>
    <row r="209" spans="1:10" ht="15" customHeight="1">
      <c r="A209" s="32">
        <f>IF(204&lt;=Datos!$B$13,204,"")</f>
        <v>204</v>
      </c>
      <c r="B209" s="44">
        <f>IF(A209="","",EDATE(Datos!$B$19,A209-1))</f>
        <v>52444</v>
      </c>
      <c r="C209" s="35">
        <f>IF(A209="","",I208)</f>
        <v>109381.88553586847</v>
      </c>
      <c r="D209" s="35">
        <f>IF(A209="","",C209*Datos!$B$17/Datos!$B$12)</f>
        <v>273.45471383967117</v>
      </c>
      <c r="E209" s="35">
        <f>IF(A209="","",MIN(Datos!$B$20,C209+D209))</f>
        <v>843.20806745890093</v>
      </c>
      <c r="F209" s="35">
        <f>IF(A209="","",MAX(0,E209-D209))</f>
        <v>569.75335361922976</v>
      </c>
      <c r="G209" s="36">
        <v>0</v>
      </c>
      <c r="H209" s="35">
        <f>IF(A209="","",MIN(C209,F209+G209))</f>
        <v>569.75335361922976</v>
      </c>
      <c r="I209" s="35">
        <f>IF(A209="","",MAX(0,C209-H209))</f>
        <v>108812.13218224923</v>
      </c>
      <c r="J209" s="35">
        <f>IF(A209="","",D209+H209)</f>
        <v>843.20806745890093</v>
      </c>
    </row>
    <row r="210" spans="1:10" ht="15" customHeight="1">
      <c r="A210" s="32">
        <f>IF(205&lt;=Datos!$B$13,205,"")</f>
        <v>205</v>
      </c>
      <c r="B210" s="44">
        <f>IF(A210="","",EDATE(Datos!$B$19,A210-1))</f>
        <v>52475</v>
      </c>
      <c r="C210" s="35">
        <f>IF(A210="","",I209)</f>
        <v>108812.13218224923</v>
      </c>
      <c r="D210" s="35">
        <f>IF(A210="","",C210*Datos!$B$17/Datos!$B$12)</f>
        <v>272.03033045562307</v>
      </c>
      <c r="E210" s="35">
        <f>IF(A210="","",MIN(Datos!$B$20,C210+D210))</f>
        <v>843.20806745890093</v>
      </c>
      <c r="F210" s="35">
        <f>IF(A210="","",MAX(0,E210-D210))</f>
        <v>571.1777370032778</v>
      </c>
      <c r="G210" s="36">
        <v>0</v>
      </c>
      <c r="H210" s="35">
        <f>IF(A210="","",MIN(C210,F210+G210))</f>
        <v>571.1777370032778</v>
      </c>
      <c r="I210" s="35">
        <f>IF(A210="","",MAX(0,C210-H210))</f>
        <v>108240.95444524595</v>
      </c>
      <c r="J210" s="35">
        <f>IF(A210="","",D210+H210)</f>
        <v>843.20806745890081</v>
      </c>
    </row>
    <row r="211" spans="1:10" ht="15" customHeight="1">
      <c r="A211" s="32">
        <f>IF(206&lt;=Datos!$B$13,206,"")</f>
        <v>206</v>
      </c>
      <c r="B211" s="44">
        <f>IF(A211="","",EDATE(Datos!$B$19,A211-1))</f>
        <v>52505</v>
      </c>
      <c r="C211" s="35">
        <f>IF(A211="","",I210)</f>
        <v>108240.95444524595</v>
      </c>
      <c r="D211" s="35">
        <f>IF(A211="","",C211*Datos!$B$17/Datos!$B$12)</f>
        <v>270.60238611311485</v>
      </c>
      <c r="E211" s="35">
        <f>IF(A211="","",MIN(Datos!$B$20,C211+D211))</f>
        <v>843.20806745890093</v>
      </c>
      <c r="F211" s="35">
        <f>IF(A211="","",MAX(0,E211-D211))</f>
        <v>572.60568134578602</v>
      </c>
      <c r="G211" s="36">
        <v>0</v>
      </c>
      <c r="H211" s="35">
        <f>IF(A211="","",MIN(C211,F211+G211))</f>
        <v>572.60568134578602</v>
      </c>
      <c r="I211" s="35">
        <f>IF(A211="","",MAX(0,C211-H211))</f>
        <v>107668.34876390017</v>
      </c>
      <c r="J211" s="35">
        <f>IF(A211="","",D211+H211)</f>
        <v>843.20806745890081</v>
      </c>
    </row>
    <row r="212" spans="1:10" ht="15" customHeight="1">
      <c r="A212" s="32">
        <f>IF(207&lt;=Datos!$B$13,207,"")</f>
        <v>207</v>
      </c>
      <c r="B212" s="44">
        <f>IF(A212="","",EDATE(Datos!$B$19,A212-1))</f>
        <v>52536</v>
      </c>
      <c r="C212" s="35">
        <f>IF(A212="","",I211)</f>
        <v>107668.34876390017</v>
      </c>
      <c r="D212" s="35">
        <f>IF(A212="","",C212*Datos!$B$17/Datos!$B$12)</f>
        <v>269.17087190975042</v>
      </c>
      <c r="E212" s="35">
        <f>IF(A212="","",MIN(Datos!$B$20,C212+D212))</f>
        <v>843.20806745890093</v>
      </c>
      <c r="F212" s="35">
        <f>IF(A212="","",MAX(0,E212-D212))</f>
        <v>574.03719554915051</v>
      </c>
      <c r="G212" s="36">
        <v>0</v>
      </c>
      <c r="H212" s="35">
        <f>IF(A212="","",MIN(C212,F212+G212))</f>
        <v>574.03719554915051</v>
      </c>
      <c r="I212" s="35">
        <f>IF(A212="","",MAX(0,C212-H212))</f>
        <v>107094.31156835101</v>
      </c>
      <c r="J212" s="35">
        <f>IF(A212="","",D212+H212)</f>
        <v>843.20806745890093</v>
      </c>
    </row>
    <row r="213" spans="1:10" ht="15" customHeight="1">
      <c r="A213" s="32">
        <f>IF(208&lt;=Datos!$B$13,208,"")</f>
        <v>208</v>
      </c>
      <c r="B213" s="44">
        <f>IF(A213="","",EDATE(Datos!$B$19,A213-1))</f>
        <v>52566</v>
      </c>
      <c r="C213" s="35">
        <f>IF(A213="","",I212)</f>
        <v>107094.31156835101</v>
      </c>
      <c r="D213" s="35">
        <f>IF(A213="","",C213*Datos!$B$17/Datos!$B$12)</f>
        <v>267.73577892087752</v>
      </c>
      <c r="E213" s="35">
        <f>IF(A213="","",MIN(Datos!$B$20,C213+D213))</f>
        <v>843.20806745890093</v>
      </c>
      <c r="F213" s="35">
        <f>IF(A213="","",MAX(0,E213-D213))</f>
        <v>575.47228853802335</v>
      </c>
      <c r="G213" s="36">
        <v>0</v>
      </c>
      <c r="H213" s="35">
        <f>IF(A213="","",MIN(C213,F213+G213))</f>
        <v>575.47228853802335</v>
      </c>
      <c r="I213" s="35">
        <f>IF(A213="","",MAX(0,C213-H213))</f>
        <v>106518.83927981299</v>
      </c>
      <c r="J213" s="35">
        <f>IF(A213="","",D213+H213)</f>
        <v>843.20806745890081</v>
      </c>
    </row>
    <row r="214" spans="1:10" ht="15" customHeight="1">
      <c r="A214" s="32">
        <f>IF(209&lt;=Datos!$B$13,209,"")</f>
        <v>209</v>
      </c>
      <c r="B214" s="44">
        <f>IF(A214="","",EDATE(Datos!$B$19,A214-1))</f>
        <v>52597</v>
      </c>
      <c r="C214" s="35">
        <f>IF(A214="","",I213)</f>
        <v>106518.83927981299</v>
      </c>
      <c r="D214" s="35">
        <f>IF(A214="","",C214*Datos!$B$17/Datos!$B$12)</f>
        <v>266.29709819953246</v>
      </c>
      <c r="E214" s="35">
        <f>IF(A214="","",MIN(Datos!$B$20,C214+D214))</f>
        <v>843.20806745890093</v>
      </c>
      <c r="F214" s="35">
        <f>IF(A214="","",MAX(0,E214-D214))</f>
        <v>576.91096925936847</v>
      </c>
      <c r="G214" s="36">
        <v>0</v>
      </c>
      <c r="H214" s="35">
        <f>IF(A214="","",MIN(C214,F214+G214))</f>
        <v>576.91096925936847</v>
      </c>
      <c r="I214" s="35">
        <f>IF(A214="","",MAX(0,C214-H214))</f>
        <v>105941.92831055363</v>
      </c>
      <c r="J214" s="35">
        <f>IF(A214="","",D214+H214)</f>
        <v>843.20806745890093</v>
      </c>
    </row>
    <row r="215" spans="1:10" ht="15" customHeight="1">
      <c r="A215" s="32">
        <f>IF(210&lt;=Datos!$B$13,210,"")</f>
        <v>210</v>
      </c>
      <c r="B215" s="44">
        <f>IF(A215="","",EDATE(Datos!$B$19,A215-1))</f>
        <v>52628</v>
      </c>
      <c r="C215" s="35">
        <f>IF(A215="","",I214)</f>
        <v>105941.92831055363</v>
      </c>
      <c r="D215" s="35">
        <f>IF(A215="","",C215*Datos!$B$17/Datos!$B$12)</f>
        <v>264.85482077638409</v>
      </c>
      <c r="E215" s="35">
        <f>IF(A215="","",MIN(Datos!$B$20,C215+D215))</f>
        <v>843.20806745890093</v>
      </c>
      <c r="F215" s="35">
        <f>IF(A215="","",MAX(0,E215-D215))</f>
        <v>578.35324668251678</v>
      </c>
      <c r="G215" s="36">
        <v>0</v>
      </c>
      <c r="H215" s="35">
        <f>IF(A215="","",MIN(C215,F215+G215))</f>
        <v>578.35324668251678</v>
      </c>
      <c r="I215" s="35">
        <f>IF(A215="","",MAX(0,C215-H215))</f>
        <v>105363.57506387112</v>
      </c>
      <c r="J215" s="35">
        <f>IF(A215="","",D215+H215)</f>
        <v>843.20806745890081</v>
      </c>
    </row>
    <row r="216" spans="1:10" ht="15" customHeight="1">
      <c r="A216" s="32">
        <f>IF(211&lt;=Datos!$B$13,211,"")</f>
        <v>211</v>
      </c>
      <c r="B216" s="44">
        <f>IF(A216="","",EDATE(Datos!$B$19,A216-1))</f>
        <v>52657</v>
      </c>
      <c r="C216" s="35">
        <f>IF(A216="","",I215)</f>
        <v>105363.57506387112</v>
      </c>
      <c r="D216" s="35">
        <f>IF(A216="","",C216*Datos!$B$17/Datos!$B$12)</f>
        <v>263.4089376596778</v>
      </c>
      <c r="E216" s="35">
        <f>IF(A216="","",MIN(Datos!$B$20,C216+D216))</f>
        <v>843.20806745890093</v>
      </c>
      <c r="F216" s="35">
        <f>IF(A216="","",MAX(0,E216-D216))</f>
        <v>579.79912979922312</v>
      </c>
      <c r="G216" s="36">
        <v>0</v>
      </c>
      <c r="H216" s="35">
        <f>IF(A216="","",MIN(C216,F216+G216))</f>
        <v>579.79912979922312</v>
      </c>
      <c r="I216" s="35">
        <f>IF(A216="","",MAX(0,C216-H216))</f>
        <v>104783.77593407189</v>
      </c>
      <c r="J216" s="35">
        <f>IF(A216="","",D216+H216)</f>
        <v>843.20806745890093</v>
      </c>
    </row>
    <row r="217" spans="1:10" ht="15" customHeight="1">
      <c r="A217" s="32">
        <f>IF(212&lt;=Datos!$B$13,212,"")</f>
        <v>212</v>
      </c>
      <c r="B217" s="44">
        <f>IF(A217="","",EDATE(Datos!$B$19,A217-1))</f>
        <v>52688</v>
      </c>
      <c r="C217" s="35">
        <f>IF(A217="","",I216)</f>
        <v>104783.77593407189</v>
      </c>
      <c r="D217" s="35">
        <f>IF(A217="","",C217*Datos!$B$17/Datos!$B$12)</f>
        <v>261.95943983517969</v>
      </c>
      <c r="E217" s="35">
        <f>IF(A217="","",MIN(Datos!$B$20,C217+D217))</f>
        <v>843.20806745890093</v>
      </c>
      <c r="F217" s="35">
        <f>IF(A217="","",MAX(0,E217-D217))</f>
        <v>581.24862762372118</v>
      </c>
      <c r="G217" s="36">
        <v>0</v>
      </c>
      <c r="H217" s="35">
        <f>IF(A217="","",MIN(C217,F217+G217))</f>
        <v>581.24862762372118</v>
      </c>
      <c r="I217" s="35">
        <f>IF(A217="","",MAX(0,C217-H217))</f>
        <v>104202.52730644817</v>
      </c>
      <c r="J217" s="35">
        <f>IF(A217="","",D217+H217)</f>
        <v>843.20806745890081</v>
      </c>
    </row>
    <row r="218" spans="1:10" ht="15" customHeight="1">
      <c r="A218" s="32">
        <f>IF(213&lt;=Datos!$B$13,213,"")</f>
        <v>213</v>
      </c>
      <c r="B218" s="44">
        <f>IF(A218="","",EDATE(Datos!$B$19,A218-1))</f>
        <v>52718</v>
      </c>
      <c r="C218" s="35">
        <f>IF(A218="","",I217)</f>
        <v>104202.52730644817</v>
      </c>
      <c r="D218" s="35">
        <f>IF(A218="","",C218*Datos!$B$17/Datos!$B$12)</f>
        <v>260.50631826612045</v>
      </c>
      <c r="E218" s="35">
        <f>IF(A218="","",MIN(Datos!$B$20,C218+D218))</f>
        <v>843.20806745890093</v>
      </c>
      <c r="F218" s="35">
        <f>IF(A218="","",MAX(0,E218-D218))</f>
        <v>582.70174919278043</v>
      </c>
      <c r="G218" s="36">
        <v>0</v>
      </c>
      <c r="H218" s="35">
        <f>IF(A218="","",MIN(C218,F218+G218))</f>
        <v>582.70174919278043</v>
      </c>
      <c r="I218" s="35">
        <f>IF(A218="","",MAX(0,C218-H218))</f>
        <v>103619.82555725539</v>
      </c>
      <c r="J218" s="35">
        <f>IF(A218="","",D218+H218)</f>
        <v>843.20806745890081</v>
      </c>
    </row>
    <row r="219" spans="1:10" ht="15" customHeight="1">
      <c r="A219" s="32">
        <f>IF(214&lt;=Datos!$B$13,214,"")</f>
        <v>214</v>
      </c>
      <c r="B219" s="44">
        <f>IF(A219="","",EDATE(Datos!$B$19,A219-1))</f>
        <v>52749</v>
      </c>
      <c r="C219" s="35">
        <f>IF(A219="","",I218)</f>
        <v>103619.82555725539</v>
      </c>
      <c r="D219" s="35">
        <f>IF(A219="","",C219*Datos!$B$17/Datos!$B$12)</f>
        <v>259.04956389313844</v>
      </c>
      <c r="E219" s="35">
        <f>IF(A219="","",MIN(Datos!$B$20,C219+D219))</f>
        <v>843.20806745890093</v>
      </c>
      <c r="F219" s="35">
        <f>IF(A219="","",MAX(0,E219-D219))</f>
        <v>584.15850356576243</v>
      </c>
      <c r="G219" s="36">
        <v>0</v>
      </c>
      <c r="H219" s="35">
        <f>IF(A219="","",MIN(C219,F219+G219))</f>
        <v>584.15850356576243</v>
      </c>
      <c r="I219" s="35">
        <f>IF(A219="","",MAX(0,C219-H219))</f>
        <v>103035.66705368963</v>
      </c>
      <c r="J219" s="35">
        <f>IF(A219="","",D219+H219)</f>
        <v>843.20806745890081</v>
      </c>
    </row>
    <row r="220" spans="1:10" ht="15" customHeight="1">
      <c r="A220" s="32">
        <f>IF(215&lt;=Datos!$B$13,215,"")</f>
        <v>215</v>
      </c>
      <c r="B220" s="44">
        <f>IF(A220="","",EDATE(Datos!$B$19,A220-1))</f>
        <v>52779</v>
      </c>
      <c r="C220" s="35">
        <f>IF(A220="","",I219)</f>
        <v>103035.66705368963</v>
      </c>
      <c r="D220" s="35">
        <f>IF(A220="","",C220*Datos!$B$17/Datos!$B$12)</f>
        <v>257.58916763422405</v>
      </c>
      <c r="E220" s="35">
        <f>IF(A220="","",MIN(Datos!$B$20,C220+D220))</f>
        <v>843.20806745890093</v>
      </c>
      <c r="F220" s="35">
        <f>IF(A220="","",MAX(0,E220-D220))</f>
        <v>585.61889982467687</v>
      </c>
      <c r="G220" s="36">
        <v>0</v>
      </c>
      <c r="H220" s="35">
        <f>IF(A220="","",MIN(C220,F220+G220))</f>
        <v>585.61889982467687</v>
      </c>
      <c r="I220" s="35">
        <f>IF(A220="","",MAX(0,C220-H220))</f>
        <v>102450.04815386495</v>
      </c>
      <c r="J220" s="35">
        <f>IF(A220="","",D220+H220)</f>
        <v>843.20806745890093</v>
      </c>
    </row>
    <row r="221" spans="1:10" ht="15" customHeight="1">
      <c r="A221" s="32">
        <f>IF(216&lt;=Datos!$B$13,216,"")</f>
        <v>216</v>
      </c>
      <c r="B221" s="44">
        <f>IF(A221="","",EDATE(Datos!$B$19,A221-1))</f>
        <v>52810</v>
      </c>
      <c r="C221" s="35">
        <f>IF(A221="","",I220)</f>
        <v>102450.04815386495</v>
      </c>
      <c r="D221" s="35">
        <f>IF(A221="","",C221*Datos!$B$17/Datos!$B$12)</f>
        <v>256.12512038466235</v>
      </c>
      <c r="E221" s="35">
        <f>IF(A221="","",MIN(Datos!$B$20,C221+D221))</f>
        <v>843.20806745890093</v>
      </c>
      <c r="F221" s="35">
        <f>IF(A221="","",MAX(0,E221-D221))</f>
        <v>587.08294707423852</v>
      </c>
      <c r="G221" s="36">
        <v>0</v>
      </c>
      <c r="H221" s="35">
        <f>IF(A221="","",MIN(C221,F221+G221))</f>
        <v>587.08294707423852</v>
      </c>
      <c r="I221" s="35">
        <f>IF(A221="","",MAX(0,C221-H221))</f>
        <v>101862.96520679072</v>
      </c>
      <c r="J221" s="35">
        <f>IF(A221="","",D221+H221)</f>
        <v>843.20806745890081</v>
      </c>
    </row>
    <row r="222" spans="1:10" ht="15" customHeight="1">
      <c r="A222" s="32">
        <f>IF(217&lt;=Datos!$B$13,217,"")</f>
        <v>217</v>
      </c>
      <c r="B222" s="44">
        <f>IF(A222="","",EDATE(Datos!$B$19,A222-1))</f>
        <v>52841</v>
      </c>
      <c r="C222" s="35">
        <f>IF(A222="","",I221)</f>
        <v>101862.96520679072</v>
      </c>
      <c r="D222" s="35">
        <f>IF(A222="","",C222*Datos!$B$17/Datos!$B$12)</f>
        <v>254.65741301697676</v>
      </c>
      <c r="E222" s="35">
        <f>IF(A222="","",MIN(Datos!$B$20,C222+D222))</f>
        <v>843.20806745890093</v>
      </c>
      <c r="F222" s="35">
        <f>IF(A222="","",MAX(0,E222-D222))</f>
        <v>588.55065444192417</v>
      </c>
      <c r="G222" s="36">
        <v>0</v>
      </c>
      <c r="H222" s="35">
        <f>IF(A222="","",MIN(C222,F222+G222))</f>
        <v>588.55065444192417</v>
      </c>
      <c r="I222" s="35">
        <f>IF(A222="","",MAX(0,C222-H222))</f>
        <v>101274.4145523488</v>
      </c>
      <c r="J222" s="35">
        <f>IF(A222="","",D222+H222)</f>
        <v>843.20806745890093</v>
      </c>
    </row>
    <row r="223" spans="1:10" ht="15" customHeight="1">
      <c r="A223" s="32">
        <f>IF(218&lt;=Datos!$B$13,218,"")</f>
        <v>218</v>
      </c>
      <c r="B223" s="44">
        <f>IF(A223="","",EDATE(Datos!$B$19,A223-1))</f>
        <v>52871</v>
      </c>
      <c r="C223" s="35">
        <f>IF(A223="","",I222)</f>
        <v>101274.4145523488</v>
      </c>
      <c r="D223" s="35">
        <f>IF(A223="","",C223*Datos!$B$17/Datos!$B$12)</f>
        <v>253.186036380872</v>
      </c>
      <c r="E223" s="35">
        <f>IF(A223="","",MIN(Datos!$B$20,C223+D223))</f>
        <v>843.20806745890093</v>
      </c>
      <c r="F223" s="35">
        <f>IF(A223="","",MAX(0,E223-D223))</f>
        <v>590.02203107802893</v>
      </c>
      <c r="G223" s="36">
        <v>0</v>
      </c>
      <c r="H223" s="35">
        <f>IF(A223="","",MIN(C223,F223+G223))</f>
        <v>590.02203107802893</v>
      </c>
      <c r="I223" s="35">
        <f>IF(A223="","",MAX(0,C223-H223))</f>
        <v>100684.39252127077</v>
      </c>
      <c r="J223" s="35">
        <f>IF(A223="","",D223+H223)</f>
        <v>843.20806745890093</v>
      </c>
    </row>
    <row r="224" spans="1:10" ht="15" customHeight="1">
      <c r="A224" s="32">
        <f>IF(219&lt;=Datos!$B$13,219,"")</f>
        <v>219</v>
      </c>
      <c r="B224" s="44">
        <f>IF(A224="","",EDATE(Datos!$B$19,A224-1))</f>
        <v>52902</v>
      </c>
      <c r="C224" s="35">
        <f>IF(A224="","",I223)</f>
        <v>100684.39252127077</v>
      </c>
      <c r="D224" s="35">
        <f>IF(A224="","",C224*Datos!$B$17/Datos!$B$12)</f>
        <v>251.71098130317691</v>
      </c>
      <c r="E224" s="35">
        <f>IF(A224="","",MIN(Datos!$B$20,C224+D224))</f>
        <v>843.20806745890093</v>
      </c>
      <c r="F224" s="35">
        <f>IF(A224="","",MAX(0,E224-D224))</f>
        <v>591.49708615572399</v>
      </c>
      <c r="G224" s="36">
        <v>0</v>
      </c>
      <c r="H224" s="35">
        <f>IF(A224="","",MIN(C224,F224+G224))</f>
        <v>591.49708615572399</v>
      </c>
      <c r="I224" s="35">
        <f>IF(A224="","",MAX(0,C224-H224))</f>
        <v>100092.89543511505</v>
      </c>
      <c r="J224" s="35">
        <f>IF(A224="","",D224+H224)</f>
        <v>843.20806745890093</v>
      </c>
    </row>
    <row r="225" spans="1:10" ht="15" customHeight="1">
      <c r="A225" s="32">
        <f>IF(220&lt;=Datos!$B$13,220,"")</f>
        <v>220</v>
      </c>
      <c r="B225" s="44">
        <f>IF(A225="","",EDATE(Datos!$B$19,A225-1))</f>
        <v>52932</v>
      </c>
      <c r="C225" s="35">
        <f>IF(A225="","",I224)</f>
        <v>100092.89543511505</v>
      </c>
      <c r="D225" s="35">
        <f>IF(A225="","",C225*Datos!$B$17/Datos!$B$12)</f>
        <v>250.23223858778761</v>
      </c>
      <c r="E225" s="35">
        <f>IF(A225="","",MIN(Datos!$B$20,C225+D225))</f>
        <v>843.20806745890093</v>
      </c>
      <c r="F225" s="35">
        <f>IF(A225="","",MAX(0,E225-D225))</f>
        <v>592.97582887111332</v>
      </c>
      <c r="G225" s="36">
        <v>0</v>
      </c>
      <c r="H225" s="35">
        <f>IF(A225="","",MIN(C225,F225+G225))</f>
        <v>592.97582887111332</v>
      </c>
      <c r="I225" s="35">
        <f>IF(A225="","",MAX(0,C225-H225))</f>
        <v>99499.91960624393</v>
      </c>
      <c r="J225" s="35">
        <f>IF(A225="","",D225+H225)</f>
        <v>843.20806745890093</v>
      </c>
    </row>
    <row r="226" spans="1:10" ht="15" customHeight="1">
      <c r="A226" s="32">
        <f>IF(221&lt;=Datos!$B$13,221,"")</f>
        <v>221</v>
      </c>
      <c r="B226" s="44">
        <f>IF(A226="","",EDATE(Datos!$B$19,A226-1))</f>
        <v>52963</v>
      </c>
      <c r="C226" s="35">
        <f>IF(A226="","",I225)</f>
        <v>99499.91960624393</v>
      </c>
      <c r="D226" s="35">
        <f>IF(A226="","",C226*Datos!$B$17/Datos!$B$12)</f>
        <v>248.74979901560982</v>
      </c>
      <c r="E226" s="35">
        <f>IF(A226="","",MIN(Datos!$B$20,C226+D226))</f>
        <v>843.20806745890093</v>
      </c>
      <c r="F226" s="35">
        <f>IF(A226="","",MAX(0,E226-D226))</f>
        <v>594.4582684432911</v>
      </c>
      <c r="G226" s="36">
        <v>0</v>
      </c>
      <c r="H226" s="35">
        <f>IF(A226="","",MIN(C226,F226+G226))</f>
        <v>594.4582684432911</v>
      </c>
      <c r="I226" s="35">
        <f>IF(A226="","",MAX(0,C226-H226))</f>
        <v>98905.461337800632</v>
      </c>
      <c r="J226" s="35">
        <f>IF(A226="","",D226+H226)</f>
        <v>843.20806745890093</v>
      </c>
    </row>
    <row r="227" spans="1:10" ht="15" customHeight="1">
      <c r="A227" s="32">
        <f>IF(222&lt;=Datos!$B$13,222,"")</f>
        <v>222</v>
      </c>
      <c r="B227" s="44">
        <f>IF(A227="","",EDATE(Datos!$B$19,A227-1))</f>
        <v>52994</v>
      </c>
      <c r="C227" s="35">
        <f>IF(A227="","",I226)</f>
        <v>98905.461337800632</v>
      </c>
      <c r="D227" s="35">
        <f>IF(A227="","",C227*Datos!$B$17/Datos!$B$12)</f>
        <v>247.26365334450156</v>
      </c>
      <c r="E227" s="35">
        <f>IF(A227="","",MIN(Datos!$B$20,C227+D227))</f>
        <v>843.20806745890093</v>
      </c>
      <c r="F227" s="35">
        <f>IF(A227="","",MAX(0,E227-D227))</f>
        <v>595.94441411439936</v>
      </c>
      <c r="G227" s="36">
        <v>0</v>
      </c>
      <c r="H227" s="35">
        <f>IF(A227="","",MIN(C227,F227+G227))</f>
        <v>595.94441411439936</v>
      </c>
      <c r="I227" s="35">
        <f>IF(A227="","",MAX(0,C227-H227))</f>
        <v>98309.516923686228</v>
      </c>
      <c r="J227" s="35">
        <f>IF(A227="","",D227+H227)</f>
        <v>843.20806745890093</v>
      </c>
    </row>
    <row r="228" spans="1:10" ht="15" customHeight="1">
      <c r="A228" s="32">
        <f>IF(223&lt;=Datos!$B$13,223,"")</f>
        <v>223</v>
      </c>
      <c r="B228" s="44">
        <f>IF(A228="","",EDATE(Datos!$B$19,A228-1))</f>
        <v>53022</v>
      </c>
      <c r="C228" s="35">
        <f>IF(A228="","",I227)</f>
        <v>98309.516923686228</v>
      </c>
      <c r="D228" s="35">
        <f>IF(A228="","",C228*Datos!$B$17/Datos!$B$12)</f>
        <v>245.77379230921557</v>
      </c>
      <c r="E228" s="35">
        <f>IF(A228="","",MIN(Datos!$B$20,C228+D228))</f>
        <v>843.20806745890093</v>
      </c>
      <c r="F228" s="35">
        <f>IF(A228="","",MAX(0,E228-D228))</f>
        <v>597.43427514968539</v>
      </c>
      <c r="G228" s="36">
        <v>0</v>
      </c>
      <c r="H228" s="35">
        <f>IF(A228="","",MIN(C228,F228+G228))</f>
        <v>597.43427514968539</v>
      </c>
      <c r="I228" s="35">
        <f>IF(A228="","",MAX(0,C228-H228))</f>
        <v>97712.08264853654</v>
      </c>
      <c r="J228" s="35">
        <f>IF(A228="","",D228+H228)</f>
        <v>843.20806745890093</v>
      </c>
    </row>
    <row r="229" spans="1:10" ht="15" customHeight="1">
      <c r="A229" s="32">
        <f>IF(224&lt;=Datos!$B$13,224,"")</f>
        <v>224</v>
      </c>
      <c r="B229" s="44">
        <f>IF(A229="","",EDATE(Datos!$B$19,A229-1))</f>
        <v>53053</v>
      </c>
      <c r="C229" s="35">
        <f>IF(A229="","",I228)</f>
        <v>97712.08264853654</v>
      </c>
      <c r="D229" s="35">
        <f>IF(A229="","",C229*Datos!$B$17/Datos!$B$12)</f>
        <v>244.28020662134134</v>
      </c>
      <c r="E229" s="35">
        <f>IF(A229="","",MIN(Datos!$B$20,C229+D229))</f>
        <v>843.20806745890093</v>
      </c>
      <c r="F229" s="35">
        <f>IF(A229="","",MAX(0,E229-D229))</f>
        <v>598.92786083755959</v>
      </c>
      <c r="G229" s="36">
        <v>0</v>
      </c>
      <c r="H229" s="35">
        <f>IF(A229="","",MIN(C229,F229+G229))</f>
        <v>598.92786083755959</v>
      </c>
      <c r="I229" s="35">
        <f>IF(A229="","",MAX(0,C229-H229))</f>
        <v>97113.154787698979</v>
      </c>
      <c r="J229" s="35">
        <f>IF(A229="","",D229+H229)</f>
        <v>843.20806745890093</v>
      </c>
    </row>
    <row r="230" spans="1:10" ht="15" customHeight="1">
      <c r="A230" s="32">
        <f>IF(225&lt;=Datos!$B$13,225,"")</f>
        <v>225</v>
      </c>
      <c r="B230" s="44">
        <f>IF(A230="","",EDATE(Datos!$B$19,A230-1))</f>
        <v>53083</v>
      </c>
      <c r="C230" s="35">
        <f>IF(A230="","",I229)</f>
        <v>97113.154787698979</v>
      </c>
      <c r="D230" s="35">
        <f>IF(A230="","",C230*Datos!$B$17/Datos!$B$12)</f>
        <v>242.78288696924744</v>
      </c>
      <c r="E230" s="35">
        <f>IF(A230="","",MIN(Datos!$B$20,C230+D230))</f>
        <v>843.20806745890093</v>
      </c>
      <c r="F230" s="35">
        <f>IF(A230="","",MAX(0,E230-D230))</f>
        <v>600.42518048965348</v>
      </c>
      <c r="G230" s="36">
        <v>0</v>
      </c>
      <c r="H230" s="35">
        <f>IF(A230="","",MIN(C230,F230+G230))</f>
        <v>600.42518048965348</v>
      </c>
      <c r="I230" s="35">
        <f>IF(A230="","",MAX(0,C230-H230))</f>
        <v>96512.72960720933</v>
      </c>
      <c r="J230" s="35">
        <f>IF(A230="","",D230+H230)</f>
        <v>843.20806745890093</v>
      </c>
    </row>
    <row r="231" spans="1:10" ht="15" customHeight="1">
      <c r="A231" s="32">
        <f>IF(226&lt;=Datos!$B$13,226,"")</f>
        <v>226</v>
      </c>
      <c r="B231" s="44">
        <f>IF(A231="","",EDATE(Datos!$B$19,A231-1))</f>
        <v>53114</v>
      </c>
      <c r="C231" s="35">
        <f>IF(A231="","",I230)</f>
        <v>96512.72960720933</v>
      </c>
      <c r="D231" s="35">
        <f>IF(A231="","",C231*Datos!$B$17/Datos!$B$12)</f>
        <v>241.28182401802334</v>
      </c>
      <c r="E231" s="35">
        <f>IF(A231="","",MIN(Datos!$B$20,C231+D231))</f>
        <v>843.20806745890093</v>
      </c>
      <c r="F231" s="35">
        <f>IF(A231="","",MAX(0,E231-D231))</f>
        <v>601.92624344087756</v>
      </c>
      <c r="G231" s="36">
        <v>0</v>
      </c>
      <c r="H231" s="35">
        <f>IF(A231="","",MIN(C231,F231+G231))</f>
        <v>601.92624344087756</v>
      </c>
      <c r="I231" s="35">
        <f>IF(A231="","",MAX(0,C231-H231))</f>
        <v>95910.803363768457</v>
      </c>
      <c r="J231" s="35">
        <f>IF(A231="","",D231+H231)</f>
        <v>843.20806745890093</v>
      </c>
    </row>
    <row r="232" spans="1:10" ht="15" customHeight="1">
      <c r="A232" s="32">
        <f>IF(227&lt;=Datos!$B$13,227,"")</f>
        <v>227</v>
      </c>
      <c r="B232" s="44">
        <f>IF(A232="","",EDATE(Datos!$B$19,A232-1))</f>
        <v>53144</v>
      </c>
      <c r="C232" s="35">
        <f>IF(A232="","",I231)</f>
        <v>95910.803363768457</v>
      </c>
      <c r="D232" s="35">
        <f>IF(A232="","",C232*Datos!$B$17/Datos!$B$12)</f>
        <v>239.77700840942111</v>
      </c>
      <c r="E232" s="35">
        <f>IF(A232="","",MIN(Datos!$B$20,C232+D232))</f>
        <v>843.20806745890093</v>
      </c>
      <c r="F232" s="35">
        <f>IF(A232="","",MAX(0,E232-D232))</f>
        <v>603.43105904947981</v>
      </c>
      <c r="G232" s="36">
        <v>0</v>
      </c>
      <c r="H232" s="35">
        <f>IF(A232="","",MIN(C232,F232+G232))</f>
        <v>603.43105904947981</v>
      </c>
      <c r="I232" s="35">
        <f>IF(A232="","",MAX(0,C232-H232))</f>
        <v>95307.372304718971</v>
      </c>
      <c r="J232" s="35">
        <f>IF(A232="","",D232+H232)</f>
        <v>843.20806745890093</v>
      </c>
    </row>
    <row r="233" spans="1:10" ht="15" customHeight="1">
      <c r="A233" s="32">
        <f>IF(228&lt;=Datos!$B$13,228,"")</f>
        <v>228</v>
      </c>
      <c r="B233" s="44">
        <f>IF(A233="","",EDATE(Datos!$B$19,A233-1))</f>
        <v>53175</v>
      </c>
      <c r="C233" s="35">
        <f>IF(A233="","",I232)</f>
        <v>95307.372304718971</v>
      </c>
      <c r="D233" s="35">
        <f>IF(A233="","",C233*Datos!$B$17/Datos!$B$12)</f>
        <v>238.26843076179742</v>
      </c>
      <c r="E233" s="35">
        <f>IF(A233="","",MIN(Datos!$B$20,C233+D233))</f>
        <v>843.20806745890093</v>
      </c>
      <c r="F233" s="35">
        <f>IF(A233="","",MAX(0,E233-D233))</f>
        <v>604.93963669710354</v>
      </c>
      <c r="G233" s="36">
        <v>0</v>
      </c>
      <c r="H233" s="35">
        <f>IF(A233="","",MIN(C233,F233+G233))</f>
        <v>604.93963669710354</v>
      </c>
      <c r="I233" s="35">
        <f>IF(A233="","",MAX(0,C233-H233))</f>
        <v>94702.432668021866</v>
      </c>
      <c r="J233" s="35">
        <f>IF(A233="","",D233+H233)</f>
        <v>843.20806745890093</v>
      </c>
    </row>
    <row r="234" spans="1:10" ht="15" customHeight="1">
      <c r="A234" s="32">
        <f>IF(229&lt;=Datos!$B$13,229,"")</f>
        <v>229</v>
      </c>
      <c r="B234" s="44">
        <f>IF(A234="","",EDATE(Datos!$B$19,A234-1))</f>
        <v>53206</v>
      </c>
      <c r="C234" s="35">
        <f>IF(A234="","",I233)</f>
        <v>94702.432668021866</v>
      </c>
      <c r="D234" s="35">
        <f>IF(A234="","",C234*Datos!$B$17/Datos!$B$12)</f>
        <v>236.75608167005464</v>
      </c>
      <c r="E234" s="35">
        <f>IF(A234="","",MIN(Datos!$B$20,C234+D234))</f>
        <v>843.20806745890093</v>
      </c>
      <c r="F234" s="35">
        <f>IF(A234="","",MAX(0,E234-D234))</f>
        <v>606.45198578884629</v>
      </c>
      <c r="G234" s="36">
        <v>0</v>
      </c>
      <c r="H234" s="35">
        <f>IF(A234="","",MIN(C234,F234+G234))</f>
        <v>606.45198578884629</v>
      </c>
      <c r="I234" s="35">
        <f>IF(A234="","",MAX(0,C234-H234))</f>
        <v>94095.980682233014</v>
      </c>
      <c r="J234" s="35">
        <f>IF(A234="","",D234+H234)</f>
        <v>843.20806745890093</v>
      </c>
    </row>
    <row r="235" spans="1:10" ht="15" customHeight="1">
      <c r="A235" s="32">
        <f>IF(230&lt;=Datos!$B$13,230,"")</f>
        <v>230</v>
      </c>
      <c r="B235" s="44">
        <f>IF(A235="","",EDATE(Datos!$B$19,A235-1))</f>
        <v>53236</v>
      </c>
      <c r="C235" s="35">
        <f>IF(A235="","",I234)</f>
        <v>94095.980682233014</v>
      </c>
      <c r="D235" s="35">
        <f>IF(A235="","",C235*Datos!$B$17/Datos!$B$12)</f>
        <v>235.23995170558251</v>
      </c>
      <c r="E235" s="35">
        <f>IF(A235="","",MIN(Datos!$B$20,C235+D235))</f>
        <v>843.20806745890093</v>
      </c>
      <c r="F235" s="35">
        <f>IF(A235="","",MAX(0,E235-D235))</f>
        <v>607.96811575331844</v>
      </c>
      <c r="G235" s="36">
        <v>0</v>
      </c>
      <c r="H235" s="35">
        <f>IF(A235="","",MIN(C235,F235+G235))</f>
        <v>607.96811575331844</v>
      </c>
      <c r="I235" s="35">
        <f>IF(A235="","",MAX(0,C235-H235))</f>
        <v>93488.012566479694</v>
      </c>
      <c r="J235" s="35">
        <f>IF(A235="","",D235+H235)</f>
        <v>843.20806745890093</v>
      </c>
    </row>
    <row r="236" spans="1:10" ht="15" customHeight="1">
      <c r="A236" s="32">
        <f>IF(231&lt;=Datos!$B$13,231,"")</f>
        <v>231</v>
      </c>
      <c r="B236" s="44">
        <f>IF(A236="","",EDATE(Datos!$B$19,A236-1))</f>
        <v>53267</v>
      </c>
      <c r="C236" s="35">
        <f>IF(A236="","",I235)</f>
        <v>93488.012566479694</v>
      </c>
      <c r="D236" s="35">
        <f>IF(A236="","",C236*Datos!$B$17/Datos!$B$12)</f>
        <v>233.72003141619925</v>
      </c>
      <c r="E236" s="35">
        <f>IF(A236="","",MIN(Datos!$B$20,C236+D236))</f>
        <v>843.20806745890093</v>
      </c>
      <c r="F236" s="35">
        <f>IF(A236="","",MAX(0,E236-D236))</f>
        <v>609.48803604270165</v>
      </c>
      <c r="G236" s="36">
        <v>0</v>
      </c>
      <c r="H236" s="35">
        <f>IF(A236="","",MIN(C236,F236+G236))</f>
        <v>609.48803604270165</v>
      </c>
      <c r="I236" s="35">
        <f>IF(A236="","",MAX(0,C236-H236))</f>
        <v>92878.524530436989</v>
      </c>
      <c r="J236" s="35">
        <f>IF(A236="","",D236+H236)</f>
        <v>843.20806745890093</v>
      </c>
    </row>
    <row r="237" spans="1:10" ht="15" customHeight="1">
      <c r="A237" s="32">
        <f>IF(232&lt;=Datos!$B$13,232,"")</f>
        <v>232</v>
      </c>
      <c r="B237" s="44">
        <f>IF(A237="","",EDATE(Datos!$B$19,A237-1))</f>
        <v>53297</v>
      </c>
      <c r="C237" s="35">
        <f>IF(A237="","",I236)</f>
        <v>92878.524530436989</v>
      </c>
      <c r="D237" s="35">
        <f>IF(A237="","",C237*Datos!$B$17/Datos!$B$12)</f>
        <v>232.19631132609246</v>
      </c>
      <c r="E237" s="35">
        <f>IF(A237="","",MIN(Datos!$B$20,C237+D237))</f>
        <v>843.20806745890093</v>
      </c>
      <c r="F237" s="35">
        <f>IF(A237="","",MAX(0,E237-D237))</f>
        <v>611.0117561328085</v>
      </c>
      <c r="G237" s="36">
        <v>0</v>
      </c>
      <c r="H237" s="35">
        <f>IF(A237="","",MIN(C237,F237+G237))</f>
        <v>611.0117561328085</v>
      </c>
      <c r="I237" s="35">
        <f>IF(A237="","",MAX(0,C237-H237))</f>
        <v>92267.512774304181</v>
      </c>
      <c r="J237" s="35">
        <f>IF(A237="","",D237+H237)</f>
        <v>843.20806745890093</v>
      </c>
    </row>
    <row r="238" spans="1:10" ht="15" customHeight="1">
      <c r="A238" s="32">
        <f>IF(233&lt;=Datos!$B$13,233,"")</f>
        <v>233</v>
      </c>
      <c r="B238" s="44">
        <f>IF(A238="","",EDATE(Datos!$B$19,A238-1))</f>
        <v>53328</v>
      </c>
      <c r="C238" s="35">
        <f>IF(A238="","",I237)</f>
        <v>92267.512774304181</v>
      </c>
      <c r="D238" s="35">
        <f>IF(A238="","",C238*Datos!$B$17/Datos!$B$12)</f>
        <v>230.66878193576045</v>
      </c>
      <c r="E238" s="35">
        <f>IF(A238="","",MIN(Datos!$B$20,C238+D238))</f>
        <v>843.20806745890093</v>
      </c>
      <c r="F238" s="35">
        <f>IF(A238="","",MAX(0,E238-D238))</f>
        <v>612.53928552314051</v>
      </c>
      <c r="G238" s="36">
        <v>0</v>
      </c>
      <c r="H238" s="35">
        <f>IF(A238="","",MIN(C238,F238+G238))</f>
        <v>612.53928552314051</v>
      </c>
      <c r="I238" s="35">
        <f>IF(A238="","",MAX(0,C238-H238))</f>
        <v>91654.973488781034</v>
      </c>
      <c r="J238" s="35">
        <f>IF(A238="","",D238+H238)</f>
        <v>843.20806745890093</v>
      </c>
    </row>
    <row r="239" spans="1:10" ht="15" customHeight="1">
      <c r="A239" s="32">
        <f>IF(234&lt;=Datos!$B$13,234,"")</f>
        <v>234</v>
      </c>
      <c r="B239" s="44">
        <f>IF(A239="","",EDATE(Datos!$B$19,A239-1))</f>
        <v>53359</v>
      </c>
      <c r="C239" s="35">
        <f>IF(A239="","",I238)</f>
        <v>91654.973488781034</v>
      </c>
      <c r="D239" s="35">
        <f>IF(A239="","",C239*Datos!$B$17/Datos!$B$12)</f>
        <v>229.13743372195256</v>
      </c>
      <c r="E239" s="35">
        <f>IF(A239="","",MIN(Datos!$B$20,C239+D239))</f>
        <v>843.20806745890093</v>
      </c>
      <c r="F239" s="35">
        <f>IF(A239="","",MAX(0,E239-D239))</f>
        <v>614.07063373694837</v>
      </c>
      <c r="G239" s="36">
        <v>0</v>
      </c>
      <c r="H239" s="35">
        <f>IF(A239="","",MIN(C239,F239+G239))</f>
        <v>614.07063373694837</v>
      </c>
      <c r="I239" s="35">
        <f>IF(A239="","",MAX(0,C239-H239))</f>
        <v>91040.902855044085</v>
      </c>
      <c r="J239" s="35">
        <f>IF(A239="","",D239+H239)</f>
        <v>843.20806745890093</v>
      </c>
    </row>
    <row r="240" spans="1:10" ht="15" customHeight="1">
      <c r="A240" s="32">
        <f>IF(235&lt;=Datos!$B$13,235,"")</f>
        <v>235</v>
      </c>
      <c r="B240" s="44">
        <f>IF(A240="","",EDATE(Datos!$B$19,A240-1))</f>
        <v>53387</v>
      </c>
      <c r="C240" s="35">
        <f>IF(A240="","",I239)</f>
        <v>91040.902855044085</v>
      </c>
      <c r="D240" s="35">
        <f>IF(A240="","",C240*Datos!$B$17/Datos!$B$12)</f>
        <v>227.6022571376102</v>
      </c>
      <c r="E240" s="35">
        <f>IF(A240="","",MIN(Datos!$B$20,C240+D240))</f>
        <v>843.20806745890093</v>
      </c>
      <c r="F240" s="35">
        <f>IF(A240="","",MAX(0,E240-D240))</f>
        <v>615.60581032129073</v>
      </c>
      <c r="G240" s="36">
        <v>0</v>
      </c>
      <c r="H240" s="35">
        <f>IF(A240="","",MIN(C240,F240+G240))</f>
        <v>615.60581032129073</v>
      </c>
      <c r="I240" s="35">
        <f>IF(A240="","",MAX(0,C240-H240))</f>
        <v>90425.2970447228</v>
      </c>
      <c r="J240" s="35">
        <f>IF(A240="","",D240+H240)</f>
        <v>843.20806745890093</v>
      </c>
    </row>
    <row r="241" spans="1:10" ht="15" customHeight="1">
      <c r="A241" s="32">
        <f>IF(236&lt;=Datos!$B$13,236,"")</f>
        <v>236</v>
      </c>
      <c r="B241" s="44">
        <f>IF(A241="","",EDATE(Datos!$B$19,A241-1))</f>
        <v>53418</v>
      </c>
      <c r="C241" s="35">
        <f>IF(A241="","",I240)</f>
        <v>90425.2970447228</v>
      </c>
      <c r="D241" s="35">
        <f>IF(A241="","",C241*Datos!$B$17/Datos!$B$12)</f>
        <v>226.063242611807</v>
      </c>
      <c r="E241" s="35">
        <f>IF(A241="","",MIN(Datos!$B$20,C241+D241))</f>
        <v>843.20806745890093</v>
      </c>
      <c r="F241" s="35">
        <f>IF(A241="","",MAX(0,E241-D241))</f>
        <v>617.1448248470939</v>
      </c>
      <c r="G241" s="36">
        <v>0</v>
      </c>
      <c r="H241" s="35">
        <f>IF(A241="","",MIN(C241,F241+G241))</f>
        <v>617.1448248470939</v>
      </c>
      <c r="I241" s="35">
        <f>IF(A241="","",MAX(0,C241-H241))</f>
        <v>89808.152219875701</v>
      </c>
      <c r="J241" s="35">
        <f>IF(A241="","",D241+H241)</f>
        <v>843.20806745890093</v>
      </c>
    </row>
    <row r="242" spans="1:10" ht="15" customHeight="1">
      <c r="A242" s="32">
        <f>IF(237&lt;=Datos!$B$13,237,"")</f>
        <v>237</v>
      </c>
      <c r="B242" s="44">
        <f>IF(A242="","",EDATE(Datos!$B$19,A242-1))</f>
        <v>53448</v>
      </c>
      <c r="C242" s="35">
        <f>IF(A242="","",I241)</f>
        <v>89808.152219875701</v>
      </c>
      <c r="D242" s="35">
        <f>IF(A242="","",C242*Datos!$B$17/Datos!$B$12)</f>
        <v>224.52038054968924</v>
      </c>
      <c r="E242" s="35">
        <f>IF(A242="","",MIN(Datos!$B$20,C242+D242))</f>
        <v>843.20806745890093</v>
      </c>
      <c r="F242" s="35">
        <f>IF(A242="","",MAX(0,E242-D242))</f>
        <v>618.68768690921172</v>
      </c>
      <c r="G242" s="36">
        <v>0</v>
      </c>
      <c r="H242" s="35">
        <f>IF(A242="","",MIN(C242,F242+G242))</f>
        <v>618.68768690921172</v>
      </c>
      <c r="I242" s="35">
        <f>IF(A242="","",MAX(0,C242-H242))</f>
        <v>89189.464532966493</v>
      </c>
      <c r="J242" s="35">
        <f>IF(A242="","",D242+H242)</f>
        <v>843.20806745890093</v>
      </c>
    </row>
    <row r="243" spans="1:10" ht="15" customHeight="1">
      <c r="A243" s="32">
        <f>IF(238&lt;=Datos!$B$13,238,"")</f>
        <v>238</v>
      </c>
      <c r="B243" s="44">
        <f>IF(A243="","",EDATE(Datos!$B$19,A243-1))</f>
        <v>53479</v>
      </c>
      <c r="C243" s="35">
        <f>IF(A243="","",I242)</f>
        <v>89189.464532966493</v>
      </c>
      <c r="D243" s="35">
        <f>IF(A243="","",C243*Datos!$B$17/Datos!$B$12)</f>
        <v>222.97366133241621</v>
      </c>
      <c r="E243" s="35">
        <f>IF(A243="","",MIN(Datos!$B$20,C243+D243))</f>
        <v>843.20806745890093</v>
      </c>
      <c r="F243" s="35">
        <f>IF(A243="","",MAX(0,E243-D243))</f>
        <v>620.23440612648471</v>
      </c>
      <c r="G243" s="36">
        <v>0</v>
      </c>
      <c r="H243" s="35">
        <f>IF(A243="","",MIN(C243,F243+G243))</f>
        <v>620.23440612648471</v>
      </c>
      <c r="I243" s="35">
        <f>IF(A243="","",MAX(0,C243-H243))</f>
        <v>88569.230126840004</v>
      </c>
      <c r="J243" s="35">
        <f>IF(A243="","",D243+H243)</f>
        <v>843.20806745890093</v>
      </c>
    </row>
    <row r="244" spans="1:10" ht="15" customHeight="1">
      <c r="A244" s="32">
        <f>IF(239&lt;=Datos!$B$13,239,"")</f>
        <v>239</v>
      </c>
      <c r="B244" s="44">
        <f>IF(A244="","",EDATE(Datos!$B$19,A244-1))</f>
        <v>53509</v>
      </c>
      <c r="C244" s="35">
        <f>IF(A244="","",I243)</f>
        <v>88569.230126840004</v>
      </c>
      <c r="D244" s="35">
        <f>IF(A244="","",C244*Datos!$B$17/Datos!$B$12)</f>
        <v>221.4230753171</v>
      </c>
      <c r="E244" s="35">
        <f>IF(A244="","",MIN(Datos!$B$20,C244+D244))</f>
        <v>843.20806745890093</v>
      </c>
      <c r="F244" s="35">
        <f>IF(A244="","",MAX(0,E244-D244))</f>
        <v>621.7849921418009</v>
      </c>
      <c r="G244" s="36">
        <v>0</v>
      </c>
      <c r="H244" s="35">
        <f>IF(A244="","",MIN(C244,F244+G244))</f>
        <v>621.7849921418009</v>
      </c>
      <c r="I244" s="35">
        <f>IF(A244="","",MAX(0,C244-H244))</f>
        <v>87947.44513469821</v>
      </c>
      <c r="J244" s="35">
        <f>IF(A244="","",D244+H244)</f>
        <v>843.20806745890093</v>
      </c>
    </row>
    <row r="245" spans="1:10" ht="15" customHeight="1">
      <c r="A245" s="32">
        <f>IF(240&lt;=Datos!$B$13,240,"")</f>
        <v>240</v>
      </c>
      <c r="B245" s="44">
        <f>IF(A245="","",EDATE(Datos!$B$19,A245-1))</f>
        <v>53540</v>
      </c>
      <c r="C245" s="35">
        <f>IF(A245="","",I244)</f>
        <v>87947.44513469821</v>
      </c>
      <c r="D245" s="35">
        <f>IF(A245="","",C245*Datos!$B$17/Datos!$B$12)</f>
        <v>219.86861283674554</v>
      </c>
      <c r="E245" s="35">
        <f>IF(A245="","",MIN(Datos!$B$20,C245+D245))</f>
        <v>843.20806745890093</v>
      </c>
      <c r="F245" s="35">
        <f>IF(A245="","",MAX(0,E245-D245))</f>
        <v>623.33945462215536</v>
      </c>
      <c r="G245" s="36">
        <v>0</v>
      </c>
      <c r="H245" s="35">
        <f>IF(A245="","",MIN(C245,F245+G245))</f>
        <v>623.33945462215536</v>
      </c>
      <c r="I245" s="35">
        <f>IF(A245="","",MAX(0,C245-H245))</f>
        <v>87324.105680076056</v>
      </c>
      <c r="J245" s="35">
        <f>IF(A245="","",D245+H245)</f>
        <v>843.20806745890093</v>
      </c>
    </row>
    <row r="246" spans="1:10" ht="15" customHeight="1">
      <c r="A246" s="32">
        <f>IF(241&lt;=Datos!$B$13,241,"")</f>
        <v>241</v>
      </c>
      <c r="B246" s="44">
        <f>IF(A246="","",EDATE(Datos!$B$19,A246-1))</f>
        <v>53571</v>
      </c>
      <c r="C246" s="35">
        <f>IF(A246="","",I245)</f>
        <v>87324.105680076056</v>
      </c>
      <c r="D246" s="35">
        <f>IF(A246="","",C246*Datos!$B$17/Datos!$B$12)</f>
        <v>218.31026420019012</v>
      </c>
      <c r="E246" s="35">
        <f>IF(A246="","",MIN(Datos!$B$20,C246+D246))</f>
        <v>843.20806745890093</v>
      </c>
      <c r="F246" s="35">
        <f>IF(A246="","",MAX(0,E246-D246))</f>
        <v>624.89780325871084</v>
      </c>
      <c r="G246" s="36">
        <v>0</v>
      </c>
      <c r="H246" s="35">
        <f>IF(A246="","",MIN(C246,F246+G246))</f>
        <v>624.89780325871084</v>
      </c>
      <c r="I246" s="35">
        <f>IF(A246="","",MAX(0,C246-H246))</f>
        <v>86699.207876817352</v>
      </c>
      <c r="J246" s="35">
        <f>IF(A246="","",D246+H246)</f>
        <v>843.20806745890093</v>
      </c>
    </row>
    <row r="247" spans="1:10" ht="15" customHeight="1">
      <c r="A247" s="32">
        <f>IF(242&lt;=Datos!$B$13,242,"")</f>
        <v>242</v>
      </c>
      <c r="B247" s="44">
        <f>IF(A247="","",EDATE(Datos!$B$19,A247-1))</f>
        <v>53601</v>
      </c>
      <c r="C247" s="35">
        <f>IF(A247="","",I246)</f>
        <v>86699.207876817352</v>
      </c>
      <c r="D247" s="35">
        <f>IF(A247="","",C247*Datos!$B$17/Datos!$B$12)</f>
        <v>216.74801969204339</v>
      </c>
      <c r="E247" s="35">
        <f>IF(A247="","",MIN(Datos!$B$20,C247+D247))</f>
        <v>843.20806745890093</v>
      </c>
      <c r="F247" s="35">
        <f>IF(A247="","",MAX(0,E247-D247))</f>
        <v>626.46004776685754</v>
      </c>
      <c r="G247" s="36">
        <v>0</v>
      </c>
      <c r="H247" s="35">
        <f>IF(A247="","",MIN(C247,F247+G247))</f>
        <v>626.46004776685754</v>
      </c>
      <c r="I247" s="35">
        <f>IF(A247="","",MAX(0,C247-H247))</f>
        <v>86072.747829050495</v>
      </c>
      <c r="J247" s="35">
        <f>IF(A247="","",D247+H247)</f>
        <v>843.20806745890093</v>
      </c>
    </row>
    <row r="248" spans="1:10" ht="15" customHeight="1">
      <c r="A248" s="32">
        <f>IF(243&lt;=Datos!$B$13,243,"")</f>
        <v>243</v>
      </c>
      <c r="B248" s="44">
        <f>IF(A248="","",EDATE(Datos!$B$19,A248-1))</f>
        <v>53632</v>
      </c>
      <c r="C248" s="35">
        <f>IF(A248="","",I247)</f>
        <v>86072.747829050495</v>
      </c>
      <c r="D248" s="35">
        <f>IF(A248="","",C248*Datos!$B$17/Datos!$B$12)</f>
        <v>215.18186957262625</v>
      </c>
      <c r="E248" s="35">
        <f>IF(A248="","",MIN(Datos!$B$20,C248+D248))</f>
        <v>843.20806745890093</v>
      </c>
      <c r="F248" s="35">
        <f>IF(A248="","",MAX(0,E248-D248))</f>
        <v>628.02619788627464</v>
      </c>
      <c r="G248" s="36">
        <v>0</v>
      </c>
      <c r="H248" s="35">
        <f>IF(A248="","",MIN(C248,F248+G248))</f>
        <v>628.02619788627464</v>
      </c>
      <c r="I248" s="35">
        <f>IF(A248="","",MAX(0,C248-H248))</f>
        <v>85444.721631164226</v>
      </c>
      <c r="J248" s="35">
        <f>IF(A248="","",D248+H248)</f>
        <v>843.20806745890093</v>
      </c>
    </row>
    <row r="249" spans="1:10" ht="15" customHeight="1">
      <c r="A249" s="32">
        <f>IF(244&lt;=Datos!$B$13,244,"")</f>
        <v>244</v>
      </c>
      <c r="B249" s="44">
        <f>IF(A249="","",EDATE(Datos!$B$19,A249-1))</f>
        <v>53662</v>
      </c>
      <c r="C249" s="35">
        <f>IF(A249="","",I248)</f>
        <v>85444.721631164226</v>
      </c>
      <c r="D249" s="35">
        <f>IF(A249="","",C249*Datos!$B$17/Datos!$B$12)</f>
        <v>213.61180407791053</v>
      </c>
      <c r="E249" s="35">
        <f>IF(A249="","",MIN(Datos!$B$20,C249+D249))</f>
        <v>843.20806745890093</v>
      </c>
      <c r="F249" s="35">
        <f>IF(A249="","",MAX(0,E249-D249))</f>
        <v>629.59626338099042</v>
      </c>
      <c r="G249" s="36">
        <v>0</v>
      </c>
      <c r="H249" s="35">
        <f>IF(A249="","",MIN(C249,F249+G249))</f>
        <v>629.59626338099042</v>
      </c>
      <c r="I249" s="35">
        <f>IF(A249="","",MAX(0,C249-H249))</f>
        <v>84815.125367783243</v>
      </c>
      <c r="J249" s="35">
        <f>IF(A249="","",D249+H249)</f>
        <v>843.20806745890093</v>
      </c>
    </row>
    <row r="250" spans="1:10" ht="15" customHeight="1">
      <c r="A250" s="32">
        <f>IF(245&lt;=Datos!$B$13,245,"")</f>
        <v>245</v>
      </c>
      <c r="B250" s="44">
        <f>IF(A250="","",EDATE(Datos!$B$19,A250-1))</f>
        <v>53693</v>
      </c>
      <c r="C250" s="35">
        <f>IF(A250="","",I249)</f>
        <v>84815.125367783243</v>
      </c>
      <c r="D250" s="35">
        <f>IF(A250="","",C250*Datos!$B$17/Datos!$B$12)</f>
        <v>212.0378134194581</v>
      </c>
      <c r="E250" s="35">
        <f>IF(A250="","",MIN(Datos!$B$20,C250+D250))</f>
        <v>843.20806745890093</v>
      </c>
      <c r="F250" s="35">
        <f>IF(A250="","",MAX(0,E250-D250))</f>
        <v>631.17025403944285</v>
      </c>
      <c r="G250" s="36">
        <v>0</v>
      </c>
      <c r="H250" s="35">
        <f>IF(A250="","",MIN(C250,F250+G250))</f>
        <v>631.17025403944285</v>
      </c>
      <c r="I250" s="35">
        <f>IF(A250="","",MAX(0,C250-H250))</f>
        <v>84183.955113743796</v>
      </c>
      <c r="J250" s="35">
        <f>IF(A250="","",D250+H250)</f>
        <v>843.20806745890093</v>
      </c>
    </row>
    <row r="251" spans="1:10" ht="15" customHeight="1">
      <c r="A251" s="32">
        <f>IF(246&lt;=Datos!$B$13,246,"")</f>
        <v>246</v>
      </c>
      <c r="B251" s="44">
        <f>IF(A251="","",EDATE(Datos!$B$19,A251-1))</f>
        <v>53724</v>
      </c>
      <c r="C251" s="35">
        <f>IF(A251="","",I250)</f>
        <v>84183.955113743796</v>
      </c>
      <c r="D251" s="35">
        <f>IF(A251="","",C251*Datos!$B$17/Datos!$B$12)</f>
        <v>210.45988778435947</v>
      </c>
      <c r="E251" s="35">
        <f>IF(A251="","",MIN(Datos!$B$20,C251+D251))</f>
        <v>843.20806745890093</v>
      </c>
      <c r="F251" s="35">
        <f>IF(A251="","",MAX(0,E251-D251))</f>
        <v>632.74817967454146</v>
      </c>
      <c r="G251" s="36">
        <v>0</v>
      </c>
      <c r="H251" s="35">
        <f>IF(A251="","",MIN(C251,F251+G251))</f>
        <v>632.74817967454146</v>
      </c>
      <c r="I251" s="35">
        <f>IF(A251="","",MAX(0,C251-H251))</f>
        <v>83551.206934069254</v>
      </c>
      <c r="J251" s="35">
        <f>IF(A251="","",D251+H251)</f>
        <v>843.20806745890093</v>
      </c>
    </row>
    <row r="252" spans="1:10" ht="15" customHeight="1">
      <c r="A252" s="32">
        <f>IF(247&lt;=Datos!$B$13,247,"")</f>
        <v>247</v>
      </c>
      <c r="B252" s="44">
        <f>IF(A252="","",EDATE(Datos!$B$19,A252-1))</f>
        <v>53752</v>
      </c>
      <c r="C252" s="35">
        <f>IF(A252="","",I251)</f>
        <v>83551.206934069254</v>
      </c>
      <c r="D252" s="35">
        <f>IF(A252="","",C252*Datos!$B$17/Datos!$B$12)</f>
        <v>208.87801733517313</v>
      </c>
      <c r="E252" s="35">
        <f>IF(A252="","",MIN(Datos!$B$20,C252+D252))</f>
        <v>843.20806745890093</v>
      </c>
      <c r="F252" s="35">
        <f>IF(A252="","",MAX(0,E252-D252))</f>
        <v>634.3300501237278</v>
      </c>
      <c r="G252" s="36">
        <v>0</v>
      </c>
      <c r="H252" s="35">
        <f>IF(A252="","",MIN(C252,F252+G252))</f>
        <v>634.3300501237278</v>
      </c>
      <c r="I252" s="35">
        <f>IF(A252="","",MAX(0,C252-H252))</f>
        <v>82916.87688394553</v>
      </c>
      <c r="J252" s="35">
        <f>IF(A252="","",D252+H252)</f>
        <v>843.20806745890093</v>
      </c>
    </row>
    <row r="253" spans="1:10" ht="15" customHeight="1">
      <c r="A253" s="32">
        <f>IF(248&lt;=Datos!$B$13,248,"")</f>
        <v>248</v>
      </c>
      <c r="B253" s="44">
        <f>IF(A253="","",EDATE(Datos!$B$19,A253-1))</f>
        <v>53783</v>
      </c>
      <c r="C253" s="35">
        <f>IF(A253="","",I252)</f>
        <v>82916.87688394553</v>
      </c>
      <c r="D253" s="35">
        <f>IF(A253="","",C253*Datos!$B$17/Datos!$B$12)</f>
        <v>207.29219220986383</v>
      </c>
      <c r="E253" s="35">
        <f>IF(A253="","",MIN(Datos!$B$20,C253+D253))</f>
        <v>843.20806745890093</v>
      </c>
      <c r="F253" s="35">
        <f>IF(A253="","",MAX(0,E253-D253))</f>
        <v>635.91587524903707</v>
      </c>
      <c r="G253" s="36">
        <v>0</v>
      </c>
      <c r="H253" s="35">
        <f>IF(A253="","",MIN(C253,F253+G253))</f>
        <v>635.91587524903707</v>
      </c>
      <c r="I253" s="35">
        <f>IF(A253="","",MAX(0,C253-H253))</f>
        <v>82280.961008696497</v>
      </c>
      <c r="J253" s="35">
        <f>IF(A253="","",D253+H253)</f>
        <v>843.20806745890093</v>
      </c>
    </row>
    <row r="254" spans="1:10" ht="15" customHeight="1">
      <c r="A254" s="32">
        <f>IF(249&lt;=Datos!$B$13,249,"")</f>
        <v>249</v>
      </c>
      <c r="B254" s="44">
        <f>IF(A254="","",EDATE(Datos!$B$19,A254-1))</f>
        <v>53813</v>
      </c>
      <c r="C254" s="35">
        <f>IF(A254="","",I253)</f>
        <v>82280.961008696497</v>
      </c>
      <c r="D254" s="35">
        <f>IF(A254="","",C254*Datos!$B$17/Datos!$B$12)</f>
        <v>205.70240252174122</v>
      </c>
      <c r="E254" s="35">
        <f>IF(A254="","",MIN(Datos!$B$20,C254+D254))</f>
        <v>843.20806745890093</v>
      </c>
      <c r="F254" s="35">
        <f>IF(A254="","",MAX(0,E254-D254))</f>
        <v>637.50566493715974</v>
      </c>
      <c r="G254" s="36">
        <v>0</v>
      </c>
      <c r="H254" s="35">
        <f>IF(A254="","",MIN(C254,F254+G254))</f>
        <v>637.50566493715974</v>
      </c>
      <c r="I254" s="35">
        <f>IF(A254="","",MAX(0,C254-H254))</f>
        <v>81643.455343759342</v>
      </c>
      <c r="J254" s="35">
        <f>IF(A254="","",D254+H254)</f>
        <v>843.20806745890093</v>
      </c>
    </row>
    <row r="255" spans="1:10" ht="15" customHeight="1">
      <c r="A255" s="32">
        <f>IF(250&lt;=Datos!$B$13,250,"")</f>
        <v>250</v>
      </c>
      <c r="B255" s="44">
        <f>IF(A255="","",EDATE(Datos!$B$19,A255-1))</f>
        <v>53844</v>
      </c>
      <c r="C255" s="35">
        <f>IF(A255="","",I254)</f>
        <v>81643.455343759342</v>
      </c>
      <c r="D255" s="35">
        <f>IF(A255="","",C255*Datos!$B$17/Datos!$B$12)</f>
        <v>204.10863835939836</v>
      </c>
      <c r="E255" s="35">
        <f>IF(A255="","",MIN(Datos!$B$20,C255+D255))</f>
        <v>843.20806745890093</v>
      </c>
      <c r="F255" s="35">
        <f>IF(A255="","",MAX(0,E255-D255))</f>
        <v>639.09942909950257</v>
      </c>
      <c r="G255" s="36">
        <v>0</v>
      </c>
      <c r="H255" s="35">
        <f>IF(A255="","",MIN(C255,F255+G255))</f>
        <v>639.09942909950257</v>
      </c>
      <c r="I255" s="35">
        <f>IF(A255="","",MAX(0,C255-H255))</f>
        <v>81004.355914659842</v>
      </c>
      <c r="J255" s="35">
        <f>IF(A255="","",D255+H255)</f>
        <v>843.20806745890093</v>
      </c>
    </row>
    <row r="256" spans="1:10" ht="15" customHeight="1">
      <c r="A256" s="32">
        <f>IF(251&lt;=Datos!$B$13,251,"")</f>
        <v>251</v>
      </c>
      <c r="B256" s="44">
        <f>IF(A256="","",EDATE(Datos!$B$19,A256-1))</f>
        <v>53874</v>
      </c>
      <c r="C256" s="35">
        <f>IF(A256="","",I255)</f>
        <v>81004.355914659842</v>
      </c>
      <c r="D256" s="35">
        <f>IF(A256="","",C256*Datos!$B$17/Datos!$B$12)</f>
        <v>202.51088978664961</v>
      </c>
      <c r="E256" s="35">
        <f>IF(A256="","",MIN(Datos!$B$20,C256+D256))</f>
        <v>843.20806745890093</v>
      </c>
      <c r="F256" s="35">
        <f>IF(A256="","",MAX(0,E256-D256))</f>
        <v>640.69717767225131</v>
      </c>
      <c r="G256" s="36">
        <v>0</v>
      </c>
      <c r="H256" s="35">
        <f>IF(A256="","",MIN(C256,F256+G256))</f>
        <v>640.69717767225131</v>
      </c>
      <c r="I256" s="35">
        <f>IF(A256="","",MAX(0,C256-H256))</f>
        <v>80363.658736987592</v>
      </c>
      <c r="J256" s="35">
        <f>IF(A256="","",D256+H256)</f>
        <v>843.20806745890093</v>
      </c>
    </row>
    <row r="257" spans="1:10" ht="15" customHeight="1">
      <c r="A257" s="32">
        <f>IF(252&lt;=Datos!$B$13,252,"")</f>
        <v>252</v>
      </c>
      <c r="B257" s="44">
        <f>IF(A257="","",EDATE(Datos!$B$19,A257-1))</f>
        <v>53905</v>
      </c>
      <c r="C257" s="35">
        <f>IF(A257="","",I256)</f>
        <v>80363.658736987592</v>
      </c>
      <c r="D257" s="35">
        <f>IF(A257="","",C257*Datos!$B$17/Datos!$B$12)</f>
        <v>200.90914684246897</v>
      </c>
      <c r="E257" s="35">
        <f>IF(A257="","",MIN(Datos!$B$20,C257+D257))</f>
        <v>843.20806745890093</v>
      </c>
      <c r="F257" s="35">
        <f>IF(A257="","",MAX(0,E257-D257))</f>
        <v>642.29892061643193</v>
      </c>
      <c r="G257" s="36">
        <v>0</v>
      </c>
      <c r="H257" s="35">
        <f>IF(A257="","",MIN(C257,F257+G257))</f>
        <v>642.29892061643193</v>
      </c>
      <c r="I257" s="35">
        <f>IF(A257="","",MAX(0,C257-H257))</f>
        <v>79721.359816371158</v>
      </c>
      <c r="J257" s="35">
        <f>IF(A257="","",D257+H257)</f>
        <v>843.20806745890093</v>
      </c>
    </row>
    <row r="258" spans="1:10" ht="15" customHeight="1">
      <c r="A258" s="32">
        <f>IF(253&lt;=Datos!$B$13,253,"")</f>
        <v>253</v>
      </c>
      <c r="B258" s="44">
        <f>IF(A258="","",EDATE(Datos!$B$19,A258-1))</f>
        <v>53936</v>
      </c>
      <c r="C258" s="35">
        <f>IF(A258="","",I257)</f>
        <v>79721.359816371158</v>
      </c>
      <c r="D258" s="35">
        <f>IF(A258="","",C258*Datos!$B$17/Datos!$B$12)</f>
        <v>199.3033995409279</v>
      </c>
      <c r="E258" s="35">
        <f>IF(A258="","",MIN(Datos!$B$20,C258+D258))</f>
        <v>843.20806745890093</v>
      </c>
      <c r="F258" s="35">
        <f>IF(A258="","",MAX(0,E258-D258))</f>
        <v>643.90466791797303</v>
      </c>
      <c r="G258" s="36">
        <v>0</v>
      </c>
      <c r="H258" s="35">
        <f>IF(A258="","",MIN(C258,F258+G258))</f>
        <v>643.90466791797303</v>
      </c>
      <c r="I258" s="35">
        <f>IF(A258="","",MAX(0,C258-H258))</f>
        <v>79077.455148453184</v>
      </c>
      <c r="J258" s="35">
        <f>IF(A258="","",D258+H258)</f>
        <v>843.20806745890093</v>
      </c>
    </row>
    <row r="259" spans="1:10" ht="15" customHeight="1">
      <c r="A259" s="32">
        <f>IF(254&lt;=Datos!$B$13,254,"")</f>
        <v>254</v>
      </c>
      <c r="B259" s="44">
        <f>IF(A259="","",EDATE(Datos!$B$19,A259-1))</f>
        <v>53966</v>
      </c>
      <c r="C259" s="35">
        <f>IF(A259="","",I258)</f>
        <v>79077.455148453184</v>
      </c>
      <c r="D259" s="35">
        <f>IF(A259="","",C259*Datos!$B$17/Datos!$B$12)</f>
        <v>197.69363787113295</v>
      </c>
      <c r="E259" s="35">
        <f>IF(A259="","",MIN(Datos!$B$20,C259+D259))</f>
        <v>843.20806745890093</v>
      </c>
      <c r="F259" s="35">
        <f>IF(A259="","",MAX(0,E259-D259))</f>
        <v>645.51442958776795</v>
      </c>
      <c r="G259" s="36">
        <v>0</v>
      </c>
      <c r="H259" s="35">
        <f>IF(A259="","",MIN(C259,F259+G259))</f>
        <v>645.51442958776795</v>
      </c>
      <c r="I259" s="35">
        <f>IF(A259="","",MAX(0,C259-H259))</f>
        <v>78431.940718865415</v>
      </c>
      <c r="J259" s="35">
        <f>IF(A259="","",D259+H259)</f>
        <v>843.20806745890093</v>
      </c>
    </row>
    <row r="260" spans="1:10" ht="15" customHeight="1">
      <c r="A260" s="32">
        <f>IF(255&lt;=Datos!$B$13,255,"")</f>
        <v>255</v>
      </c>
      <c r="B260" s="44">
        <f>IF(A260="","",EDATE(Datos!$B$19,A260-1))</f>
        <v>53997</v>
      </c>
      <c r="C260" s="35">
        <f>IF(A260="","",I259)</f>
        <v>78431.940718865415</v>
      </c>
      <c r="D260" s="35">
        <f>IF(A260="","",C260*Datos!$B$17/Datos!$B$12)</f>
        <v>196.07985179716354</v>
      </c>
      <c r="E260" s="35">
        <f>IF(A260="","",MIN(Datos!$B$20,C260+D260))</f>
        <v>843.20806745890093</v>
      </c>
      <c r="F260" s="35">
        <f>IF(A260="","",MAX(0,E260-D260))</f>
        <v>647.12821566173739</v>
      </c>
      <c r="G260" s="36">
        <v>0</v>
      </c>
      <c r="H260" s="35">
        <f>IF(A260="","",MIN(C260,F260+G260))</f>
        <v>647.12821566173739</v>
      </c>
      <c r="I260" s="35">
        <f>IF(A260="","",MAX(0,C260-H260))</f>
        <v>77784.812503203677</v>
      </c>
      <c r="J260" s="35">
        <f>IF(A260="","",D260+H260)</f>
        <v>843.20806745890093</v>
      </c>
    </row>
    <row r="261" spans="1:10" ht="15" customHeight="1">
      <c r="A261" s="32">
        <f>IF(256&lt;=Datos!$B$13,256,"")</f>
        <v>256</v>
      </c>
      <c r="B261" s="44">
        <f>IF(A261="","",EDATE(Datos!$B$19,A261-1))</f>
        <v>54027</v>
      </c>
      <c r="C261" s="35">
        <f>IF(A261="","",I260)</f>
        <v>77784.812503203677</v>
      </c>
      <c r="D261" s="35">
        <f>IF(A261="","",C261*Datos!$B$17/Datos!$B$12)</f>
        <v>194.4620312580092</v>
      </c>
      <c r="E261" s="35">
        <f>IF(A261="","",MIN(Datos!$B$20,C261+D261))</f>
        <v>843.20806745890093</v>
      </c>
      <c r="F261" s="35">
        <f>IF(A261="","",MAX(0,E261-D261))</f>
        <v>648.74603620089169</v>
      </c>
      <c r="G261" s="36">
        <v>0</v>
      </c>
      <c r="H261" s="35">
        <f>IF(A261="","",MIN(C261,F261+G261))</f>
        <v>648.74603620089169</v>
      </c>
      <c r="I261" s="35">
        <f>IF(A261="","",MAX(0,C261-H261))</f>
        <v>77136.066467002791</v>
      </c>
      <c r="J261" s="35">
        <f>IF(A261="","",D261+H261)</f>
        <v>843.20806745890093</v>
      </c>
    </row>
    <row r="262" spans="1:10" ht="15" customHeight="1">
      <c r="A262" s="32">
        <f>IF(257&lt;=Datos!$B$13,257,"")</f>
        <v>257</v>
      </c>
      <c r="B262" s="44">
        <f>IF(A262="","",EDATE(Datos!$B$19,A262-1))</f>
        <v>54058</v>
      </c>
      <c r="C262" s="35">
        <f>IF(A262="","",I261)</f>
        <v>77136.066467002791</v>
      </c>
      <c r="D262" s="35">
        <f>IF(A262="","",C262*Datos!$B$17/Datos!$B$12)</f>
        <v>192.84016616750696</v>
      </c>
      <c r="E262" s="35">
        <f>IF(A262="","",MIN(Datos!$B$20,C262+D262))</f>
        <v>843.20806745890093</v>
      </c>
      <c r="F262" s="35">
        <f>IF(A262="","",MAX(0,E262-D262))</f>
        <v>650.36790129139399</v>
      </c>
      <c r="G262" s="36">
        <v>0</v>
      </c>
      <c r="H262" s="35">
        <f>IF(A262="","",MIN(C262,F262+G262))</f>
        <v>650.36790129139399</v>
      </c>
      <c r="I262" s="35">
        <f>IF(A262="","",MAX(0,C262-H262))</f>
        <v>76485.698565711398</v>
      </c>
      <c r="J262" s="35">
        <f>IF(A262="","",D262+H262)</f>
        <v>843.20806745890093</v>
      </c>
    </row>
    <row r="263" spans="1:10" ht="15" customHeight="1">
      <c r="A263" s="32">
        <f>IF(258&lt;=Datos!$B$13,258,"")</f>
        <v>258</v>
      </c>
      <c r="B263" s="44">
        <f>IF(A263="","",EDATE(Datos!$B$19,A263-1))</f>
        <v>54089</v>
      </c>
      <c r="C263" s="35">
        <f>IF(A263="","",I262)</f>
        <v>76485.698565711398</v>
      </c>
      <c r="D263" s="35">
        <f>IF(A263="","",C263*Datos!$B$17/Datos!$B$12)</f>
        <v>191.21424641427848</v>
      </c>
      <c r="E263" s="35">
        <f>IF(A263="","",MIN(Datos!$B$20,C263+D263))</f>
        <v>843.20806745890093</v>
      </c>
      <c r="F263" s="35">
        <f>IF(A263="","",MAX(0,E263-D263))</f>
        <v>651.99382104462245</v>
      </c>
      <c r="G263" s="36">
        <v>0</v>
      </c>
      <c r="H263" s="35">
        <f>IF(A263="","",MIN(C263,F263+G263))</f>
        <v>651.99382104462245</v>
      </c>
      <c r="I263" s="35">
        <f>IF(A263="","",MAX(0,C263-H263))</f>
        <v>75833.704744666771</v>
      </c>
      <c r="J263" s="35">
        <f>IF(A263="","",D263+H263)</f>
        <v>843.20806745890093</v>
      </c>
    </row>
    <row r="264" spans="1:10" ht="15" customHeight="1">
      <c r="A264" s="32">
        <f>IF(259&lt;=Datos!$B$13,259,"")</f>
        <v>259</v>
      </c>
      <c r="B264" s="44">
        <f>IF(A264="","",EDATE(Datos!$B$19,A264-1))</f>
        <v>54118</v>
      </c>
      <c r="C264" s="35">
        <f>IF(A264="","",I263)</f>
        <v>75833.704744666771</v>
      </c>
      <c r="D264" s="35">
        <f>IF(A264="","",C264*Datos!$B$17/Datos!$B$12)</f>
        <v>189.58426186166693</v>
      </c>
      <c r="E264" s="35">
        <f>IF(A264="","",MIN(Datos!$B$20,C264+D264))</f>
        <v>843.20806745890093</v>
      </c>
      <c r="F264" s="35">
        <f>IF(A264="","",MAX(0,E264-D264))</f>
        <v>653.62380559723397</v>
      </c>
      <c r="G264" s="36">
        <v>0</v>
      </c>
      <c r="H264" s="35">
        <f>IF(A264="","",MIN(C264,F264+G264))</f>
        <v>653.62380559723397</v>
      </c>
      <c r="I264" s="35">
        <f>IF(A264="","",MAX(0,C264-H264))</f>
        <v>75180.080939069536</v>
      </c>
      <c r="J264" s="35">
        <f>IF(A264="","",D264+H264)</f>
        <v>843.20806745890093</v>
      </c>
    </row>
    <row r="265" spans="1:10" ht="15" customHeight="1">
      <c r="A265" s="32">
        <f>IF(260&lt;=Datos!$B$13,260,"")</f>
        <v>260</v>
      </c>
      <c r="B265" s="44">
        <f>IF(A265="","",EDATE(Datos!$B$19,A265-1))</f>
        <v>54149</v>
      </c>
      <c r="C265" s="35">
        <f>IF(A265="","",I264)</f>
        <v>75180.080939069536</v>
      </c>
      <c r="D265" s="35">
        <f>IF(A265="","",C265*Datos!$B$17/Datos!$B$12)</f>
        <v>187.95020234767381</v>
      </c>
      <c r="E265" s="35">
        <f>IF(A265="","",MIN(Datos!$B$20,C265+D265))</f>
        <v>843.20806745890093</v>
      </c>
      <c r="F265" s="35">
        <f>IF(A265="","",MAX(0,E265-D265))</f>
        <v>655.25786511122715</v>
      </c>
      <c r="G265" s="36">
        <v>0</v>
      </c>
      <c r="H265" s="35">
        <f>IF(A265="","",MIN(C265,F265+G265))</f>
        <v>655.25786511122715</v>
      </c>
      <c r="I265" s="35">
        <f>IF(A265="","",MAX(0,C265-H265))</f>
        <v>74524.823073958309</v>
      </c>
      <c r="J265" s="35">
        <f>IF(A265="","",D265+H265)</f>
        <v>843.20806745890093</v>
      </c>
    </row>
    <row r="266" spans="1:10" ht="15" customHeight="1">
      <c r="A266" s="32">
        <f>IF(261&lt;=Datos!$B$13,261,"")</f>
        <v>261</v>
      </c>
      <c r="B266" s="44">
        <f>IF(A266="","",EDATE(Datos!$B$19,A266-1))</f>
        <v>54179</v>
      </c>
      <c r="C266" s="35">
        <f>IF(A266="","",I265)</f>
        <v>74524.823073958309</v>
      </c>
      <c r="D266" s="35">
        <f>IF(A266="","",C266*Datos!$B$17/Datos!$B$12)</f>
        <v>186.31205768489576</v>
      </c>
      <c r="E266" s="35">
        <f>IF(A266="","",MIN(Datos!$B$20,C266+D266))</f>
        <v>843.20806745890093</v>
      </c>
      <c r="F266" s="35">
        <f>IF(A266="","",MAX(0,E266-D266))</f>
        <v>656.89600977400517</v>
      </c>
      <c r="G266" s="36">
        <v>0</v>
      </c>
      <c r="H266" s="35">
        <f>IF(A266="","",MIN(C266,F266+G266))</f>
        <v>656.89600977400517</v>
      </c>
      <c r="I266" s="35">
        <f>IF(A266="","",MAX(0,C266-H266))</f>
        <v>73867.927064184303</v>
      </c>
      <c r="J266" s="35">
        <f>IF(A266="","",D266+H266)</f>
        <v>843.20806745890093</v>
      </c>
    </row>
    <row r="267" spans="1:10" ht="15" customHeight="1">
      <c r="A267" s="32">
        <f>IF(262&lt;=Datos!$B$13,262,"")</f>
        <v>262</v>
      </c>
      <c r="B267" s="44">
        <f>IF(A267="","",EDATE(Datos!$B$19,A267-1))</f>
        <v>54210</v>
      </c>
      <c r="C267" s="35">
        <f>IF(A267="","",I266)</f>
        <v>73867.927064184303</v>
      </c>
      <c r="D267" s="35">
        <f>IF(A267="","",C267*Datos!$B$17/Datos!$B$12)</f>
        <v>184.66981766046072</v>
      </c>
      <c r="E267" s="35">
        <f>IF(A267="","",MIN(Datos!$B$20,C267+D267))</f>
        <v>843.20806745890093</v>
      </c>
      <c r="F267" s="35">
        <f>IF(A267="","",MAX(0,E267-D267))</f>
        <v>658.53824979844023</v>
      </c>
      <c r="G267" s="36">
        <v>0</v>
      </c>
      <c r="H267" s="35">
        <f>IF(A267="","",MIN(C267,F267+G267))</f>
        <v>658.53824979844023</v>
      </c>
      <c r="I267" s="35">
        <f>IF(A267="","",MAX(0,C267-H267))</f>
        <v>73209.388814385864</v>
      </c>
      <c r="J267" s="35">
        <f>IF(A267="","",D267+H267)</f>
        <v>843.20806745890093</v>
      </c>
    </row>
    <row r="268" spans="1:10" ht="15" customHeight="1">
      <c r="A268" s="32">
        <f>IF(263&lt;=Datos!$B$13,263,"")</f>
        <v>263</v>
      </c>
      <c r="B268" s="44">
        <f>IF(A268="","",EDATE(Datos!$B$19,A268-1))</f>
        <v>54240</v>
      </c>
      <c r="C268" s="35">
        <f>IF(A268="","",I267)</f>
        <v>73209.388814385864</v>
      </c>
      <c r="D268" s="35">
        <f>IF(A268="","",C268*Datos!$B$17/Datos!$B$12)</f>
        <v>183.02347203596466</v>
      </c>
      <c r="E268" s="35">
        <f>IF(A268="","",MIN(Datos!$B$20,C268+D268))</f>
        <v>843.20806745890093</v>
      </c>
      <c r="F268" s="35">
        <f>IF(A268="","",MAX(0,E268-D268))</f>
        <v>660.18459542293624</v>
      </c>
      <c r="G268" s="36">
        <v>0</v>
      </c>
      <c r="H268" s="35">
        <f>IF(A268="","",MIN(C268,F268+G268))</f>
        <v>660.18459542293624</v>
      </c>
      <c r="I268" s="35">
        <f>IF(A268="","",MAX(0,C268-H268))</f>
        <v>72549.204218962928</v>
      </c>
      <c r="J268" s="35">
        <f>IF(A268="","",D268+H268)</f>
        <v>843.20806745890093</v>
      </c>
    </row>
    <row r="269" spans="1:10" ht="15" customHeight="1">
      <c r="A269" s="32">
        <f>IF(264&lt;=Datos!$B$13,264,"")</f>
        <v>264</v>
      </c>
      <c r="B269" s="44">
        <f>IF(A269="","",EDATE(Datos!$B$19,A269-1))</f>
        <v>54271</v>
      </c>
      <c r="C269" s="35">
        <f>IF(A269="","",I268)</f>
        <v>72549.204218962928</v>
      </c>
      <c r="D269" s="35">
        <f>IF(A269="","",C269*Datos!$B$17/Datos!$B$12)</f>
        <v>181.37301054740729</v>
      </c>
      <c r="E269" s="35">
        <f>IF(A269="","",MIN(Datos!$B$20,C269+D269))</f>
        <v>843.20806745890093</v>
      </c>
      <c r="F269" s="35">
        <f>IF(A269="","",MAX(0,E269-D269))</f>
        <v>661.83505691149367</v>
      </c>
      <c r="G269" s="36">
        <v>0</v>
      </c>
      <c r="H269" s="35">
        <f>IF(A269="","",MIN(C269,F269+G269))</f>
        <v>661.83505691149367</v>
      </c>
      <c r="I269" s="35">
        <f>IF(A269="","",MAX(0,C269-H269))</f>
        <v>71887.369162051429</v>
      </c>
      <c r="J269" s="35">
        <f>IF(A269="","",D269+H269)</f>
        <v>843.20806745890093</v>
      </c>
    </row>
    <row r="270" spans="1:10" ht="15" customHeight="1">
      <c r="A270" s="32">
        <f>IF(265&lt;=Datos!$B$13,265,"")</f>
        <v>265</v>
      </c>
      <c r="B270" s="44">
        <f>IF(A270="","",EDATE(Datos!$B$19,A270-1))</f>
        <v>54302</v>
      </c>
      <c r="C270" s="35">
        <f>IF(A270="","",I269)</f>
        <v>71887.369162051429</v>
      </c>
      <c r="D270" s="35">
        <f>IF(A270="","",C270*Datos!$B$17/Datos!$B$12)</f>
        <v>179.71842290512856</v>
      </c>
      <c r="E270" s="35">
        <f>IF(A270="","",MIN(Datos!$B$20,C270+D270))</f>
        <v>843.20806745890093</v>
      </c>
      <c r="F270" s="35">
        <f>IF(A270="","",MAX(0,E270-D270))</f>
        <v>663.48964455377234</v>
      </c>
      <c r="G270" s="36">
        <v>0</v>
      </c>
      <c r="H270" s="35">
        <f>IF(A270="","",MIN(C270,F270+G270))</f>
        <v>663.48964455377234</v>
      </c>
      <c r="I270" s="35">
        <f>IF(A270="","",MAX(0,C270-H270))</f>
        <v>71223.879517497655</v>
      </c>
      <c r="J270" s="35">
        <f>IF(A270="","",D270+H270)</f>
        <v>843.20806745890093</v>
      </c>
    </row>
    <row r="271" spans="1:10" ht="15" customHeight="1">
      <c r="A271" s="32">
        <f>IF(266&lt;=Datos!$B$13,266,"")</f>
        <v>266</v>
      </c>
      <c r="B271" s="44">
        <f>IF(A271="","",EDATE(Datos!$B$19,A271-1))</f>
        <v>54332</v>
      </c>
      <c r="C271" s="35">
        <f>IF(A271="","",I270)</f>
        <v>71223.879517497655</v>
      </c>
      <c r="D271" s="35">
        <f>IF(A271="","",C271*Datos!$B$17/Datos!$B$12)</f>
        <v>178.05969879374413</v>
      </c>
      <c r="E271" s="35">
        <f>IF(A271="","",MIN(Datos!$B$20,C271+D271))</f>
        <v>843.20806745890093</v>
      </c>
      <c r="F271" s="35">
        <f>IF(A271="","",MAX(0,E271-D271))</f>
        <v>665.1483686651568</v>
      </c>
      <c r="G271" s="36">
        <v>0</v>
      </c>
      <c r="H271" s="35">
        <f>IF(A271="","",MIN(C271,F271+G271))</f>
        <v>665.1483686651568</v>
      </c>
      <c r="I271" s="35">
        <f>IF(A271="","",MAX(0,C271-H271))</f>
        <v>70558.731148832492</v>
      </c>
      <c r="J271" s="35">
        <f>IF(A271="","",D271+H271)</f>
        <v>843.20806745890093</v>
      </c>
    </row>
    <row r="272" spans="1:10" ht="15" customHeight="1">
      <c r="A272" s="32">
        <f>IF(267&lt;=Datos!$B$13,267,"")</f>
        <v>267</v>
      </c>
      <c r="B272" s="44">
        <f>IF(A272="","",EDATE(Datos!$B$19,A272-1))</f>
        <v>54363</v>
      </c>
      <c r="C272" s="35">
        <f>IF(A272="","",I271)</f>
        <v>70558.731148832492</v>
      </c>
      <c r="D272" s="35">
        <f>IF(A272="","",C272*Datos!$B$17/Datos!$B$12)</f>
        <v>176.39682787208122</v>
      </c>
      <c r="E272" s="35">
        <f>IF(A272="","",MIN(Datos!$B$20,C272+D272))</f>
        <v>843.20806745890093</v>
      </c>
      <c r="F272" s="35">
        <f>IF(A272="","",MAX(0,E272-D272))</f>
        <v>666.81123958681974</v>
      </c>
      <c r="G272" s="36">
        <v>0</v>
      </c>
      <c r="H272" s="35">
        <f>IF(A272="","",MIN(C272,F272+G272))</f>
        <v>666.81123958681974</v>
      </c>
      <c r="I272" s="35">
        <f>IF(A272="","",MAX(0,C272-H272))</f>
        <v>69891.919909245669</v>
      </c>
      <c r="J272" s="35">
        <f>IF(A272="","",D272+H272)</f>
        <v>843.20806745890093</v>
      </c>
    </row>
    <row r="273" spans="1:10" ht="15" customHeight="1">
      <c r="A273" s="32">
        <f>IF(268&lt;=Datos!$B$13,268,"")</f>
        <v>268</v>
      </c>
      <c r="B273" s="44">
        <f>IF(A273="","",EDATE(Datos!$B$19,A273-1))</f>
        <v>54393</v>
      </c>
      <c r="C273" s="35">
        <f>IF(A273="","",I272)</f>
        <v>69891.919909245669</v>
      </c>
      <c r="D273" s="35">
        <f>IF(A273="","",C273*Datos!$B$17/Datos!$B$12)</f>
        <v>174.72979977311419</v>
      </c>
      <c r="E273" s="35">
        <f>IF(A273="","",MIN(Datos!$B$20,C273+D273))</f>
        <v>843.20806745890093</v>
      </c>
      <c r="F273" s="35">
        <f>IF(A273="","",MAX(0,E273-D273))</f>
        <v>668.4782676857867</v>
      </c>
      <c r="G273" s="36">
        <v>0</v>
      </c>
      <c r="H273" s="35">
        <f>IF(A273="","",MIN(C273,F273+G273))</f>
        <v>668.4782676857867</v>
      </c>
      <c r="I273" s="35">
        <f>IF(A273="","",MAX(0,C273-H273))</f>
        <v>69223.441641559883</v>
      </c>
      <c r="J273" s="35">
        <f>IF(A273="","",D273+H273)</f>
        <v>843.20806745890093</v>
      </c>
    </row>
    <row r="274" spans="1:10" ht="15" customHeight="1">
      <c r="A274" s="32">
        <f>IF(269&lt;=Datos!$B$13,269,"")</f>
        <v>269</v>
      </c>
      <c r="B274" s="44">
        <f>IF(A274="","",EDATE(Datos!$B$19,A274-1))</f>
        <v>54424</v>
      </c>
      <c r="C274" s="35">
        <f>IF(A274="","",I273)</f>
        <v>69223.441641559883</v>
      </c>
      <c r="D274" s="35">
        <f>IF(A274="","",C274*Datos!$B$17/Datos!$B$12)</f>
        <v>173.05860410389971</v>
      </c>
      <c r="E274" s="35">
        <f>IF(A274="","",MIN(Datos!$B$20,C274+D274))</f>
        <v>843.20806745890093</v>
      </c>
      <c r="F274" s="35">
        <f>IF(A274="","",MAX(0,E274-D274))</f>
        <v>670.14946335500122</v>
      </c>
      <c r="G274" s="36">
        <v>0</v>
      </c>
      <c r="H274" s="35">
        <f>IF(A274="","",MIN(C274,F274+G274))</f>
        <v>670.14946335500122</v>
      </c>
      <c r="I274" s="35">
        <f>IF(A274="","",MAX(0,C274-H274))</f>
        <v>68553.29217820488</v>
      </c>
      <c r="J274" s="35">
        <f>IF(A274="","",D274+H274)</f>
        <v>843.20806745890093</v>
      </c>
    </row>
    <row r="275" spans="1:10" ht="15" customHeight="1">
      <c r="A275" s="32">
        <f>IF(270&lt;=Datos!$B$13,270,"")</f>
        <v>270</v>
      </c>
      <c r="B275" s="44">
        <f>IF(A275="","",EDATE(Datos!$B$19,A275-1))</f>
        <v>54455</v>
      </c>
      <c r="C275" s="35">
        <f>IF(A275="","",I274)</f>
        <v>68553.29217820488</v>
      </c>
      <c r="D275" s="35">
        <f>IF(A275="","",C275*Datos!$B$17/Datos!$B$12)</f>
        <v>171.38323044551217</v>
      </c>
      <c r="E275" s="35">
        <f>IF(A275="","",MIN(Datos!$B$20,C275+D275))</f>
        <v>843.20806745890093</v>
      </c>
      <c r="F275" s="35">
        <f>IF(A275="","",MAX(0,E275-D275))</f>
        <v>671.82483701338879</v>
      </c>
      <c r="G275" s="36">
        <v>0</v>
      </c>
      <c r="H275" s="35">
        <f>IF(A275="","",MIN(C275,F275+G275))</f>
        <v>671.82483701338879</v>
      </c>
      <c r="I275" s="35">
        <f>IF(A275="","",MAX(0,C275-H275))</f>
        <v>67881.467341191485</v>
      </c>
      <c r="J275" s="35">
        <f>IF(A275="","",D275+H275)</f>
        <v>843.20806745890093</v>
      </c>
    </row>
    <row r="276" spans="1:10" ht="15" customHeight="1">
      <c r="A276" s="32">
        <f>IF(271&lt;=Datos!$B$13,271,"")</f>
        <v>271</v>
      </c>
      <c r="B276" s="44">
        <f>IF(A276="","",EDATE(Datos!$B$19,A276-1))</f>
        <v>54483</v>
      </c>
      <c r="C276" s="35">
        <f>IF(A276="","",I275)</f>
        <v>67881.467341191485</v>
      </c>
      <c r="D276" s="35">
        <f>IF(A276="","",C276*Datos!$B$17/Datos!$B$12)</f>
        <v>169.70366835297872</v>
      </c>
      <c r="E276" s="35">
        <f>IF(A276="","",MIN(Datos!$B$20,C276+D276))</f>
        <v>843.20806745890093</v>
      </c>
      <c r="F276" s="35">
        <f>IF(A276="","",MAX(0,E276-D276))</f>
        <v>673.50439910592218</v>
      </c>
      <c r="G276" s="36">
        <v>0</v>
      </c>
      <c r="H276" s="35">
        <f>IF(A276="","",MIN(C276,F276+G276))</f>
        <v>673.50439910592218</v>
      </c>
      <c r="I276" s="35">
        <f>IF(A276="","",MAX(0,C276-H276))</f>
        <v>67207.962942085564</v>
      </c>
      <c r="J276" s="35">
        <f>IF(A276="","",D276+H276)</f>
        <v>843.20806745890093</v>
      </c>
    </row>
    <row r="277" spans="1:10" ht="15" customHeight="1">
      <c r="A277" s="32">
        <f>IF(272&lt;=Datos!$B$13,272,"")</f>
        <v>272</v>
      </c>
      <c r="B277" s="44">
        <f>IF(A277="","",EDATE(Datos!$B$19,A277-1))</f>
        <v>54514</v>
      </c>
      <c r="C277" s="35">
        <f>IF(A277="","",I276)</f>
        <v>67207.962942085564</v>
      </c>
      <c r="D277" s="35">
        <f>IF(A277="","",C277*Datos!$B$17/Datos!$B$12)</f>
        <v>168.01990735521392</v>
      </c>
      <c r="E277" s="35">
        <f>IF(A277="","",MIN(Datos!$B$20,C277+D277))</f>
        <v>843.20806745890093</v>
      </c>
      <c r="F277" s="35">
        <f>IF(A277="","",MAX(0,E277-D277))</f>
        <v>675.18816010368698</v>
      </c>
      <c r="G277" s="36">
        <v>0</v>
      </c>
      <c r="H277" s="35">
        <f>IF(A277="","",MIN(C277,F277+G277))</f>
        <v>675.18816010368698</v>
      </c>
      <c r="I277" s="35">
        <f>IF(A277="","",MAX(0,C277-H277))</f>
        <v>66532.774781981876</v>
      </c>
      <c r="J277" s="35">
        <f>IF(A277="","",D277+H277)</f>
        <v>843.20806745890093</v>
      </c>
    </row>
    <row r="278" spans="1:10" ht="15" customHeight="1">
      <c r="A278" s="32">
        <f>IF(273&lt;=Datos!$B$13,273,"")</f>
        <v>273</v>
      </c>
      <c r="B278" s="44">
        <f>IF(A278="","",EDATE(Datos!$B$19,A278-1))</f>
        <v>54544</v>
      </c>
      <c r="C278" s="35">
        <f>IF(A278="","",I277)</f>
        <v>66532.774781981876</v>
      </c>
      <c r="D278" s="35">
        <f>IF(A278="","",C278*Datos!$B$17/Datos!$B$12)</f>
        <v>166.33193695495467</v>
      </c>
      <c r="E278" s="35">
        <f>IF(A278="","",MIN(Datos!$B$20,C278+D278))</f>
        <v>843.20806745890093</v>
      </c>
      <c r="F278" s="35">
        <f>IF(A278="","",MAX(0,E278-D278))</f>
        <v>676.87613050394623</v>
      </c>
      <c r="G278" s="36">
        <v>0</v>
      </c>
      <c r="H278" s="35">
        <f>IF(A278="","",MIN(C278,F278+G278))</f>
        <v>676.87613050394623</v>
      </c>
      <c r="I278" s="35">
        <f>IF(A278="","",MAX(0,C278-H278))</f>
        <v>65855.898651477924</v>
      </c>
      <c r="J278" s="35">
        <f>IF(A278="","",D278+H278)</f>
        <v>843.20806745890093</v>
      </c>
    </row>
    <row r="279" spans="1:10" ht="15" customHeight="1">
      <c r="A279" s="32">
        <f>IF(274&lt;=Datos!$B$13,274,"")</f>
        <v>274</v>
      </c>
      <c r="B279" s="44">
        <f>IF(A279="","",EDATE(Datos!$B$19,A279-1))</f>
        <v>54575</v>
      </c>
      <c r="C279" s="35">
        <f>IF(A279="","",I278)</f>
        <v>65855.898651477924</v>
      </c>
      <c r="D279" s="35">
        <f>IF(A279="","",C279*Datos!$B$17/Datos!$B$12)</f>
        <v>164.63974662869481</v>
      </c>
      <c r="E279" s="35">
        <f>IF(A279="","",MIN(Datos!$B$20,C279+D279))</f>
        <v>843.20806745890093</v>
      </c>
      <c r="F279" s="35">
        <f>IF(A279="","",MAX(0,E279-D279))</f>
        <v>678.56832083020618</v>
      </c>
      <c r="G279" s="36">
        <v>0</v>
      </c>
      <c r="H279" s="35">
        <f>IF(A279="","",MIN(C279,F279+G279))</f>
        <v>678.56832083020618</v>
      </c>
      <c r="I279" s="35">
        <f>IF(A279="","",MAX(0,C279-H279))</f>
        <v>65177.330330647717</v>
      </c>
      <c r="J279" s="35">
        <f>IF(A279="","",D279+H279)</f>
        <v>843.20806745890104</v>
      </c>
    </row>
    <row r="280" spans="1:10" ht="15" customHeight="1">
      <c r="A280" s="32">
        <f>IF(275&lt;=Datos!$B$13,275,"")</f>
        <v>275</v>
      </c>
      <c r="B280" s="44">
        <f>IF(A280="","",EDATE(Datos!$B$19,A280-1))</f>
        <v>54605</v>
      </c>
      <c r="C280" s="35">
        <f>IF(A280="","",I279)</f>
        <v>65177.330330647717</v>
      </c>
      <c r="D280" s="35">
        <f>IF(A280="","",C280*Datos!$B$17/Datos!$B$12)</f>
        <v>162.94332582661929</v>
      </c>
      <c r="E280" s="35">
        <f>IF(A280="","",MIN(Datos!$B$20,C280+D280))</f>
        <v>843.20806745890093</v>
      </c>
      <c r="F280" s="35">
        <f>IF(A280="","",MAX(0,E280-D280))</f>
        <v>680.26474163228158</v>
      </c>
      <c r="G280" s="36">
        <v>0</v>
      </c>
      <c r="H280" s="35">
        <f>IF(A280="","",MIN(C280,F280+G280))</f>
        <v>680.26474163228158</v>
      </c>
      <c r="I280" s="35">
        <f>IF(A280="","",MAX(0,C280-H280))</f>
        <v>64497.065589015438</v>
      </c>
      <c r="J280" s="35">
        <f>IF(A280="","",D280+H280)</f>
        <v>843.20806745890081</v>
      </c>
    </row>
    <row r="281" spans="1:10" ht="15" customHeight="1">
      <c r="A281" s="32">
        <f>IF(276&lt;=Datos!$B$13,276,"")</f>
        <v>276</v>
      </c>
      <c r="B281" s="44">
        <f>IF(A281="","",EDATE(Datos!$B$19,A281-1))</f>
        <v>54636</v>
      </c>
      <c r="C281" s="35">
        <f>IF(A281="","",I280)</f>
        <v>64497.065589015438</v>
      </c>
      <c r="D281" s="35">
        <f>IF(A281="","",C281*Datos!$B$17/Datos!$B$12)</f>
        <v>161.24266397253859</v>
      </c>
      <c r="E281" s="35">
        <f>IF(A281="","",MIN(Datos!$B$20,C281+D281))</f>
        <v>843.20806745890093</v>
      </c>
      <c r="F281" s="35">
        <f>IF(A281="","",MAX(0,E281-D281))</f>
        <v>681.96540348636233</v>
      </c>
      <c r="G281" s="36">
        <v>0</v>
      </c>
      <c r="H281" s="35">
        <f>IF(A281="","",MIN(C281,F281+G281))</f>
        <v>681.96540348636233</v>
      </c>
      <c r="I281" s="35">
        <f>IF(A281="","",MAX(0,C281-H281))</f>
        <v>63815.100185529074</v>
      </c>
      <c r="J281" s="35">
        <f>IF(A281="","",D281+H281)</f>
        <v>843.20806745890093</v>
      </c>
    </row>
    <row r="282" spans="1:10" ht="15" customHeight="1">
      <c r="A282" s="32">
        <f>IF(277&lt;=Datos!$B$13,277,"")</f>
        <v>277</v>
      </c>
      <c r="B282" s="44">
        <f>IF(A282="","",EDATE(Datos!$B$19,A282-1))</f>
        <v>54667</v>
      </c>
      <c r="C282" s="35">
        <f>IF(A282="","",I281)</f>
        <v>63815.100185529074</v>
      </c>
      <c r="D282" s="35">
        <f>IF(A282="","",C282*Datos!$B$17/Datos!$B$12)</f>
        <v>159.53775046382268</v>
      </c>
      <c r="E282" s="35">
        <f>IF(A282="","",MIN(Datos!$B$20,C282+D282))</f>
        <v>843.20806745890093</v>
      </c>
      <c r="F282" s="35">
        <f>IF(A282="","",MAX(0,E282-D282))</f>
        <v>683.67031699507822</v>
      </c>
      <c r="G282" s="36">
        <v>0</v>
      </c>
      <c r="H282" s="35">
        <f>IF(A282="","",MIN(C282,F282+G282))</f>
        <v>683.67031699507822</v>
      </c>
      <c r="I282" s="35">
        <f>IF(A282="","",MAX(0,C282-H282))</f>
        <v>63131.429868533996</v>
      </c>
      <c r="J282" s="35">
        <f>IF(A282="","",D282+H282)</f>
        <v>843.20806745890093</v>
      </c>
    </row>
    <row r="283" spans="1:10" ht="15" customHeight="1">
      <c r="A283" s="32">
        <f>IF(278&lt;=Datos!$B$13,278,"")</f>
        <v>278</v>
      </c>
      <c r="B283" s="44">
        <f>IF(A283="","",EDATE(Datos!$B$19,A283-1))</f>
        <v>54697</v>
      </c>
      <c r="C283" s="35">
        <f>IF(A283="","",I282)</f>
        <v>63131.429868533996</v>
      </c>
      <c r="D283" s="35">
        <f>IF(A283="","",C283*Datos!$B$17/Datos!$B$12)</f>
        <v>157.82857467133499</v>
      </c>
      <c r="E283" s="35">
        <f>IF(A283="","",MIN(Datos!$B$20,C283+D283))</f>
        <v>843.20806745890093</v>
      </c>
      <c r="F283" s="35">
        <f>IF(A283="","",MAX(0,E283-D283))</f>
        <v>685.37949278756594</v>
      </c>
      <c r="G283" s="36">
        <v>0</v>
      </c>
      <c r="H283" s="35">
        <f>IF(A283="","",MIN(C283,F283+G283))</f>
        <v>685.37949278756594</v>
      </c>
      <c r="I283" s="35">
        <f>IF(A283="","",MAX(0,C283-H283))</f>
        <v>62446.050375746432</v>
      </c>
      <c r="J283" s="35">
        <f>IF(A283="","",D283+H283)</f>
        <v>843.20806745890093</v>
      </c>
    </row>
    <row r="284" spans="1:10" ht="15" customHeight="1">
      <c r="A284" s="32">
        <f>IF(279&lt;=Datos!$B$13,279,"")</f>
        <v>279</v>
      </c>
      <c r="B284" s="44">
        <f>IF(A284="","",EDATE(Datos!$B$19,A284-1))</f>
        <v>54728</v>
      </c>
      <c r="C284" s="35">
        <f>IF(A284="","",I283)</f>
        <v>62446.050375746432</v>
      </c>
      <c r="D284" s="35">
        <f>IF(A284="","",C284*Datos!$B$17/Datos!$B$12)</f>
        <v>156.11512593936607</v>
      </c>
      <c r="E284" s="35">
        <f>IF(A284="","",MIN(Datos!$B$20,C284+D284))</f>
        <v>843.20806745890093</v>
      </c>
      <c r="F284" s="35">
        <f>IF(A284="","",MAX(0,E284-D284))</f>
        <v>687.09294151953486</v>
      </c>
      <c r="G284" s="36">
        <v>0</v>
      </c>
      <c r="H284" s="35">
        <f>IF(A284="","",MIN(C284,F284+G284))</f>
        <v>687.09294151953486</v>
      </c>
      <c r="I284" s="35">
        <f>IF(A284="","",MAX(0,C284-H284))</f>
        <v>61758.957434226897</v>
      </c>
      <c r="J284" s="35">
        <f>IF(A284="","",D284+H284)</f>
        <v>843.20806745890093</v>
      </c>
    </row>
    <row r="285" spans="1:10" ht="15" customHeight="1">
      <c r="A285" s="32">
        <f>IF(280&lt;=Datos!$B$13,280,"")</f>
        <v>280</v>
      </c>
      <c r="B285" s="44">
        <f>IF(A285="","",EDATE(Datos!$B$19,A285-1))</f>
        <v>54758</v>
      </c>
      <c r="C285" s="35">
        <f>IF(A285="","",I284)</f>
        <v>61758.957434226897</v>
      </c>
      <c r="D285" s="35">
        <f>IF(A285="","",C285*Datos!$B$17/Datos!$B$12)</f>
        <v>154.39739358556724</v>
      </c>
      <c r="E285" s="35">
        <f>IF(A285="","",MIN(Datos!$B$20,C285+D285))</f>
        <v>843.20806745890093</v>
      </c>
      <c r="F285" s="35">
        <f>IF(A285="","",MAX(0,E285-D285))</f>
        <v>688.81067387333371</v>
      </c>
      <c r="G285" s="36">
        <v>0</v>
      </c>
      <c r="H285" s="35">
        <f>IF(A285="","",MIN(C285,F285+G285))</f>
        <v>688.81067387333371</v>
      </c>
      <c r="I285" s="35">
        <f>IF(A285="","",MAX(0,C285-H285))</f>
        <v>61070.146760353564</v>
      </c>
      <c r="J285" s="35">
        <f>IF(A285="","",D285+H285)</f>
        <v>843.20806745890093</v>
      </c>
    </row>
    <row r="286" spans="1:10" ht="15" customHeight="1">
      <c r="A286" s="32">
        <f>IF(281&lt;=Datos!$B$13,281,"")</f>
        <v>281</v>
      </c>
      <c r="B286" s="44">
        <f>IF(A286="","",EDATE(Datos!$B$19,A286-1))</f>
        <v>54789</v>
      </c>
      <c r="C286" s="35">
        <f>IF(A286="","",I285)</f>
        <v>61070.146760353564</v>
      </c>
      <c r="D286" s="35">
        <f>IF(A286="","",C286*Datos!$B$17/Datos!$B$12)</f>
        <v>152.67536690088392</v>
      </c>
      <c r="E286" s="35">
        <f>IF(A286="","",MIN(Datos!$B$20,C286+D286))</f>
        <v>843.20806745890093</v>
      </c>
      <c r="F286" s="35">
        <f>IF(A286="","",MAX(0,E286-D286))</f>
        <v>690.53270055801704</v>
      </c>
      <c r="G286" s="36">
        <v>0</v>
      </c>
      <c r="H286" s="35">
        <f>IF(A286="","",MIN(C286,F286+G286))</f>
        <v>690.53270055801704</v>
      </c>
      <c r="I286" s="35">
        <f>IF(A286="","",MAX(0,C286-H286))</f>
        <v>60379.614059795545</v>
      </c>
      <c r="J286" s="35">
        <f>IF(A286="","",D286+H286)</f>
        <v>843.20806745890093</v>
      </c>
    </row>
    <row r="287" spans="1:10" ht="15" customHeight="1">
      <c r="A287" s="32">
        <f>IF(282&lt;=Datos!$B$13,282,"")</f>
        <v>282</v>
      </c>
      <c r="B287" s="44">
        <f>IF(A287="","",EDATE(Datos!$B$19,A287-1))</f>
        <v>54820</v>
      </c>
      <c r="C287" s="35">
        <f>IF(A287="","",I286)</f>
        <v>60379.614059795545</v>
      </c>
      <c r="D287" s="35">
        <f>IF(A287="","",C287*Datos!$B$17/Datos!$B$12)</f>
        <v>150.94903514948885</v>
      </c>
      <c r="E287" s="35">
        <f>IF(A287="","",MIN(Datos!$B$20,C287+D287))</f>
        <v>843.20806745890093</v>
      </c>
      <c r="F287" s="35">
        <f>IF(A287="","",MAX(0,E287-D287))</f>
        <v>692.25903230941208</v>
      </c>
      <c r="G287" s="36">
        <v>0</v>
      </c>
      <c r="H287" s="35">
        <f>IF(A287="","",MIN(C287,F287+G287))</f>
        <v>692.25903230941208</v>
      </c>
      <c r="I287" s="35">
        <f>IF(A287="","",MAX(0,C287-H287))</f>
        <v>59687.355027486134</v>
      </c>
      <c r="J287" s="35">
        <f>IF(A287="","",D287+H287)</f>
        <v>843.20806745890093</v>
      </c>
    </row>
    <row r="288" spans="1:10" ht="15" customHeight="1">
      <c r="A288" s="32">
        <f>IF(283&lt;=Datos!$B$13,283,"")</f>
        <v>283</v>
      </c>
      <c r="B288" s="44">
        <f>IF(A288="","",EDATE(Datos!$B$19,A288-1))</f>
        <v>54848</v>
      </c>
      <c r="C288" s="35">
        <f>IF(A288="","",I287)</f>
        <v>59687.355027486134</v>
      </c>
      <c r="D288" s="35">
        <f>IF(A288="","",C288*Datos!$B$17/Datos!$B$12)</f>
        <v>149.21838756871531</v>
      </c>
      <c r="E288" s="35">
        <f>IF(A288="","",MIN(Datos!$B$20,C288+D288))</f>
        <v>843.20806745890093</v>
      </c>
      <c r="F288" s="35">
        <f>IF(A288="","",MAX(0,E288-D288))</f>
        <v>693.98967989018558</v>
      </c>
      <c r="G288" s="36">
        <v>0</v>
      </c>
      <c r="H288" s="35">
        <f>IF(A288="","",MIN(C288,F288+G288))</f>
        <v>693.98967989018558</v>
      </c>
      <c r="I288" s="35">
        <f>IF(A288="","",MAX(0,C288-H288))</f>
        <v>58993.365347595951</v>
      </c>
      <c r="J288" s="35">
        <f>IF(A288="","",D288+H288)</f>
        <v>843.20806745890093</v>
      </c>
    </row>
    <row r="289" spans="1:10" ht="15" customHeight="1">
      <c r="A289" s="32">
        <f>IF(284&lt;=Datos!$B$13,284,"")</f>
        <v>284</v>
      </c>
      <c r="B289" s="44">
        <f>IF(A289="","",EDATE(Datos!$B$19,A289-1))</f>
        <v>54879</v>
      </c>
      <c r="C289" s="35">
        <f>IF(A289="","",I288)</f>
        <v>58993.365347595951</v>
      </c>
      <c r="D289" s="35">
        <f>IF(A289="","",C289*Datos!$B$17/Datos!$B$12)</f>
        <v>147.48341336898986</v>
      </c>
      <c r="E289" s="35">
        <f>IF(A289="","",MIN(Datos!$B$20,C289+D289))</f>
        <v>843.20806745890093</v>
      </c>
      <c r="F289" s="35">
        <f>IF(A289="","",MAX(0,E289-D289))</f>
        <v>695.72465408991104</v>
      </c>
      <c r="G289" s="36">
        <v>0</v>
      </c>
      <c r="H289" s="35">
        <f>IF(A289="","",MIN(C289,F289+G289))</f>
        <v>695.72465408991104</v>
      </c>
      <c r="I289" s="35">
        <f>IF(A289="","",MAX(0,C289-H289))</f>
        <v>58297.640693506037</v>
      </c>
      <c r="J289" s="35">
        <f>IF(A289="","",D289+H289)</f>
        <v>843.20806745890093</v>
      </c>
    </row>
    <row r="290" spans="1:10" ht="15" customHeight="1">
      <c r="A290" s="32">
        <f>IF(285&lt;=Datos!$B$13,285,"")</f>
        <v>285</v>
      </c>
      <c r="B290" s="44">
        <f>IF(A290="","",EDATE(Datos!$B$19,A290-1))</f>
        <v>54909</v>
      </c>
      <c r="C290" s="35">
        <f>IF(A290="","",I289)</f>
        <v>58297.640693506037</v>
      </c>
      <c r="D290" s="35">
        <f>IF(A290="","",C290*Datos!$B$17/Datos!$B$12)</f>
        <v>145.74410173376509</v>
      </c>
      <c r="E290" s="35">
        <f>IF(A290="","",MIN(Datos!$B$20,C290+D290))</f>
        <v>843.20806745890093</v>
      </c>
      <c r="F290" s="35">
        <f>IF(A290="","",MAX(0,E290-D290))</f>
        <v>697.46396572513584</v>
      </c>
      <c r="G290" s="36">
        <v>0</v>
      </c>
      <c r="H290" s="35">
        <f>IF(A290="","",MIN(C290,F290+G290))</f>
        <v>697.46396572513584</v>
      </c>
      <c r="I290" s="35">
        <f>IF(A290="","",MAX(0,C290-H290))</f>
        <v>57600.176727780898</v>
      </c>
      <c r="J290" s="35">
        <f>IF(A290="","",D290+H290)</f>
        <v>843.20806745890093</v>
      </c>
    </row>
    <row r="291" spans="1:10" ht="15" customHeight="1">
      <c r="A291" s="32">
        <f>IF(286&lt;=Datos!$B$13,286,"")</f>
        <v>286</v>
      </c>
      <c r="B291" s="44">
        <f>IF(A291="","",EDATE(Datos!$B$19,A291-1))</f>
        <v>54940</v>
      </c>
      <c r="C291" s="35">
        <f>IF(A291="","",I290)</f>
        <v>57600.176727780898</v>
      </c>
      <c r="D291" s="35">
        <f>IF(A291="","",C291*Datos!$B$17/Datos!$B$12)</f>
        <v>144.00044181945222</v>
      </c>
      <c r="E291" s="35">
        <f>IF(A291="","",MIN(Datos!$B$20,C291+D291))</f>
        <v>843.20806745890093</v>
      </c>
      <c r="F291" s="35">
        <f>IF(A291="","",MAX(0,E291-D291))</f>
        <v>699.20762563944868</v>
      </c>
      <c r="G291" s="36">
        <v>0</v>
      </c>
      <c r="H291" s="35">
        <f>IF(A291="","",MIN(C291,F291+G291))</f>
        <v>699.20762563944868</v>
      </c>
      <c r="I291" s="35">
        <f>IF(A291="","",MAX(0,C291-H291))</f>
        <v>56900.969102141447</v>
      </c>
      <c r="J291" s="35">
        <f>IF(A291="","",D291+H291)</f>
        <v>843.20806745890093</v>
      </c>
    </row>
    <row r="292" spans="1:10" ht="15" customHeight="1">
      <c r="A292" s="32">
        <f>IF(287&lt;=Datos!$B$13,287,"")</f>
        <v>287</v>
      </c>
      <c r="B292" s="44">
        <f>IF(A292="","",EDATE(Datos!$B$19,A292-1))</f>
        <v>54970</v>
      </c>
      <c r="C292" s="35">
        <f>IF(A292="","",I291)</f>
        <v>56900.969102141447</v>
      </c>
      <c r="D292" s="35">
        <f>IF(A292="","",C292*Datos!$B$17/Datos!$B$12)</f>
        <v>142.25242275535362</v>
      </c>
      <c r="E292" s="35">
        <f>IF(A292="","",MIN(Datos!$B$20,C292+D292))</f>
        <v>843.20806745890093</v>
      </c>
      <c r="F292" s="35">
        <f>IF(A292="","",MAX(0,E292-D292))</f>
        <v>700.95564470354725</v>
      </c>
      <c r="G292" s="36">
        <v>0</v>
      </c>
      <c r="H292" s="35">
        <f>IF(A292="","",MIN(C292,F292+G292))</f>
        <v>700.95564470354725</v>
      </c>
      <c r="I292" s="35">
        <f>IF(A292="","",MAX(0,C292-H292))</f>
        <v>56200.013457437897</v>
      </c>
      <c r="J292" s="35">
        <f>IF(A292="","",D292+H292)</f>
        <v>843.20806745890081</v>
      </c>
    </row>
    <row r="293" spans="1:10" ht="15" customHeight="1">
      <c r="A293" s="32">
        <f>IF(288&lt;=Datos!$B$13,288,"")</f>
        <v>288</v>
      </c>
      <c r="B293" s="44">
        <f>IF(A293="","",EDATE(Datos!$B$19,A293-1))</f>
        <v>55001</v>
      </c>
      <c r="C293" s="35">
        <f>IF(A293="","",I292)</f>
        <v>56200.013457437897</v>
      </c>
      <c r="D293" s="35">
        <f>IF(A293="","",C293*Datos!$B$17/Datos!$B$12)</f>
        <v>140.50003364359472</v>
      </c>
      <c r="E293" s="35">
        <f>IF(A293="","",MIN(Datos!$B$20,C293+D293))</f>
        <v>843.20806745890093</v>
      </c>
      <c r="F293" s="35">
        <f>IF(A293="","",MAX(0,E293-D293))</f>
        <v>702.70803381530618</v>
      </c>
      <c r="G293" s="36">
        <v>0</v>
      </c>
      <c r="H293" s="35">
        <f>IF(A293="","",MIN(C293,F293+G293))</f>
        <v>702.70803381530618</v>
      </c>
      <c r="I293" s="35">
        <f>IF(A293="","",MAX(0,C293-H293))</f>
        <v>55497.305423622594</v>
      </c>
      <c r="J293" s="35">
        <f>IF(A293="","",D293+H293)</f>
        <v>843.20806745890093</v>
      </c>
    </row>
    <row r="294" spans="1:10" ht="15" customHeight="1">
      <c r="A294" s="32">
        <f>IF(289&lt;=Datos!$B$13,289,"")</f>
        <v>289</v>
      </c>
      <c r="B294" s="44">
        <f>IF(A294="","",EDATE(Datos!$B$19,A294-1))</f>
        <v>55032</v>
      </c>
      <c r="C294" s="35">
        <f>IF(A294="","",I293)</f>
        <v>55497.305423622594</v>
      </c>
      <c r="D294" s="35">
        <f>IF(A294="","",C294*Datos!$B$17/Datos!$B$12)</f>
        <v>138.74326355905649</v>
      </c>
      <c r="E294" s="35">
        <f>IF(A294="","",MIN(Datos!$B$20,C294+D294))</f>
        <v>843.20806745890093</v>
      </c>
      <c r="F294" s="35">
        <f>IF(A294="","",MAX(0,E294-D294))</f>
        <v>704.46480389984447</v>
      </c>
      <c r="G294" s="36">
        <v>0</v>
      </c>
      <c r="H294" s="35">
        <f>IF(A294="","",MIN(C294,F294+G294))</f>
        <v>704.46480389984447</v>
      </c>
      <c r="I294" s="35">
        <f>IF(A294="","",MAX(0,C294-H294))</f>
        <v>54792.840619722752</v>
      </c>
      <c r="J294" s="35">
        <f>IF(A294="","",D294+H294)</f>
        <v>843.20806745890093</v>
      </c>
    </row>
    <row r="295" spans="1:10" ht="15" customHeight="1">
      <c r="A295" s="32">
        <f>IF(290&lt;=Datos!$B$13,290,"")</f>
        <v>290</v>
      </c>
      <c r="B295" s="44">
        <f>IF(A295="","",EDATE(Datos!$B$19,A295-1))</f>
        <v>55062</v>
      </c>
      <c r="C295" s="35">
        <f>IF(A295="","",I294)</f>
        <v>54792.840619722752</v>
      </c>
      <c r="D295" s="35">
        <f>IF(A295="","",C295*Datos!$B$17/Datos!$B$12)</f>
        <v>136.98210154930686</v>
      </c>
      <c r="E295" s="35">
        <f>IF(A295="","",MIN(Datos!$B$20,C295+D295))</f>
        <v>843.20806745890093</v>
      </c>
      <c r="F295" s="35">
        <f>IF(A295="","",MAX(0,E295-D295))</f>
        <v>706.22596590959404</v>
      </c>
      <c r="G295" s="36">
        <v>0</v>
      </c>
      <c r="H295" s="35">
        <f>IF(A295="","",MIN(C295,F295+G295))</f>
        <v>706.22596590959404</v>
      </c>
      <c r="I295" s="35">
        <f>IF(A295="","",MAX(0,C295-H295))</f>
        <v>54086.614653813158</v>
      </c>
      <c r="J295" s="35">
        <f>IF(A295="","",D295+H295)</f>
        <v>843.20806745890093</v>
      </c>
    </row>
    <row r="296" spans="1:10" ht="15" customHeight="1">
      <c r="A296" s="32">
        <f>IF(291&lt;=Datos!$B$13,291,"")</f>
        <v>291</v>
      </c>
      <c r="B296" s="44">
        <f>IF(A296="","",EDATE(Datos!$B$19,A296-1))</f>
        <v>55093</v>
      </c>
      <c r="C296" s="35">
        <f>IF(A296="","",I295)</f>
        <v>54086.614653813158</v>
      </c>
      <c r="D296" s="35">
        <f>IF(A296="","",C296*Datos!$B$17/Datos!$B$12)</f>
        <v>135.2165366345329</v>
      </c>
      <c r="E296" s="35">
        <f>IF(A296="","",MIN(Datos!$B$20,C296+D296))</f>
        <v>843.20806745890093</v>
      </c>
      <c r="F296" s="35">
        <f>IF(A296="","",MAX(0,E296-D296))</f>
        <v>707.99153082436806</v>
      </c>
      <c r="G296" s="36">
        <v>0</v>
      </c>
      <c r="H296" s="35">
        <f>IF(A296="","",MIN(C296,F296+G296))</f>
        <v>707.99153082436806</v>
      </c>
      <c r="I296" s="35">
        <f>IF(A296="","",MAX(0,C296-H296))</f>
        <v>53378.623122988793</v>
      </c>
      <c r="J296" s="35">
        <f>IF(A296="","",D296+H296)</f>
        <v>843.20806745890093</v>
      </c>
    </row>
    <row r="297" spans="1:10" ht="15" customHeight="1">
      <c r="A297" s="32">
        <f>IF(292&lt;=Datos!$B$13,292,"")</f>
        <v>292</v>
      </c>
      <c r="B297" s="44">
        <f>IF(A297="","",EDATE(Datos!$B$19,A297-1))</f>
        <v>55123</v>
      </c>
      <c r="C297" s="35">
        <f>IF(A297="","",I296)</f>
        <v>53378.623122988793</v>
      </c>
      <c r="D297" s="35">
        <f>IF(A297="","",C297*Datos!$B$17/Datos!$B$12)</f>
        <v>133.44655780747198</v>
      </c>
      <c r="E297" s="35">
        <f>IF(A297="","",MIN(Datos!$B$20,C297+D297))</f>
        <v>843.20806745890093</v>
      </c>
      <c r="F297" s="35">
        <f>IF(A297="","",MAX(0,E297-D297))</f>
        <v>709.76150965142892</v>
      </c>
      <c r="G297" s="36">
        <v>0</v>
      </c>
      <c r="H297" s="35">
        <f>IF(A297="","",MIN(C297,F297+G297))</f>
        <v>709.76150965142892</v>
      </c>
      <c r="I297" s="35">
        <f>IF(A297="","",MAX(0,C297-H297))</f>
        <v>52668.861613337365</v>
      </c>
      <c r="J297" s="35">
        <f>IF(A297="","",D297+H297)</f>
        <v>843.20806745890093</v>
      </c>
    </row>
    <row r="298" spans="1:10" ht="15" customHeight="1">
      <c r="A298" s="32">
        <f>IF(293&lt;=Datos!$B$13,293,"")</f>
        <v>293</v>
      </c>
      <c r="B298" s="44">
        <f>IF(A298="","",EDATE(Datos!$B$19,A298-1))</f>
        <v>55154</v>
      </c>
      <c r="C298" s="35">
        <f>IF(A298="","",I297)</f>
        <v>52668.861613337365</v>
      </c>
      <c r="D298" s="35">
        <f>IF(A298="","",C298*Datos!$B$17/Datos!$B$12)</f>
        <v>131.67215403334342</v>
      </c>
      <c r="E298" s="35">
        <f>IF(A298="","",MIN(Datos!$B$20,C298+D298))</f>
        <v>843.20806745890093</v>
      </c>
      <c r="F298" s="35">
        <f>IF(A298="","",MAX(0,E298-D298))</f>
        <v>711.53591342555751</v>
      </c>
      <c r="G298" s="36">
        <v>0</v>
      </c>
      <c r="H298" s="35">
        <f>IF(A298="","",MIN(C298,F298+G298))</f>
        <v>711.53591342555751</v>
      </c>
      <c r="I298" s="35">
        <f>IF(A298="","",MAX(0,C298-H298))</f>
        <v>51957.325699911809</v>
      </c>
      <c r="J298" s="35">
        <f>IF(A298="","",D298+H298)</f>
        <v>843.20806745890093</v>
      </c>
    </row>
    <row r="299" spans="1:10" ht="15" customHeight="1">
      <c r="A299" s="32">
        <f>IF(294&lt;=Datos!$B$13,294,"")</f>
        <v>294</v>
      </c>
      <c r="B299" s="44">
        <f>IF(A299="","",EDATE(Datos!$B$19,A299-1))</f>
        <v>55185</v>
      </c>
      <c r="C299" s="35">
        <f>IF(A299="","",I298)</f>
        <v>51957.325699911809</v>
      </c>
      <c r="D299" s="35">
        <f>IF(A299="","",C299*Datos!$B$17/Datos!$B$12)</f>
        <v>129.89331424977954</v>
      </c>
      <c r="E299" s="35">
        <f>IF(A299="","",MIN(Datos!$B$20,C299+D299))</f>
        <v>843.20806745890093</v>
      </c>
      <c r="F299" s="35">
        <f>IF(A299="","",MAX(0,E299-D299))</f>
        <v>713.31475320912136</v>
      </c>
      <c r="G299" s="36">
        <v>0</v>
      </c>
      <c r="H299" s="35">
        <f>IF(A299="","",MIN(C299,F299+G299))</f>
        <v>713.31475320912136</v>
      </c>
      <c r="I299" s="35">
        <f>IF(A299="","",MAX(0,C299-H299))</f>
        <v>51244.010946702685</v>
      </c>
      <c r="J299" s="35">
        <f>IF(A299="","",D299+H299)</f>
        <v>843.20806745890093</v>
      </c>
    </row>
    <row r="300" spans="1:10" ht="15" customHeight="1">
      <c r="A300" s="32">
        <f>IF(295&lt;=Datos!$B$13,295,"")</f>
        <v>295</v>
      </c>
      <c r="B300" s="44">
        <f>IF(A300="","",EDATE(Datos!$B$19,A300-1))</f>
        <v>55213</v>
      </c>
      <c r="C300" s="35">
        <f>IF(A300="","",I299)</f>
        <v>51244.010946702685</v>
      </c>
      <c r="D300" s="35">
        <f>IF(A300="","",C300*Datos!$B$17/Datos!$B$12)</f>
        <v>128.11002736675673</v>
      </c>
      <c r="E300" s="35">
        <f>IF(A300="","",MIN(Datos!$B$20,C300+D300))</f>
        <v>843.20806745890093</v>
      </c>
      <c r="F300" s="35">
        <f>IF(A300="","",MAX(0,E300-D300))</f>
        <v>715.09804009214417</v>
      </c>
      <c r="G300" s="36">
        <v>0</v>
      </c>
      <c r="H300" s="35">
        <f>IF(A300="","",MIN(C300,F300+G300))</f>
        <v>715.09804009214417</v>
      </c>
      <c r="I300" s="35">
        <f>IF(A300="","",MAX(0,C300-H300))</f>
        <v>50528.912906610538</v>
      </c>
      <c r="J300" s="35">
        <f>IF(A300="","",D300+H300)</f>
        <v>843.20806745890093</v>
      </c>
    </row>
    <row r="301" spans="1:10" ht="15" customHeight="1">
      <c r="A301" s="32">
        <f>IF(296&lt;=Datos!$B$13,296,"")</f>
        <v>296</v>
      </c>
      <c r="B301" s="44">
        <f>IF(A301="","",EDATE(Datos!$B$19,A301-1))</f>
        <v>55244</v>
      </c>
      <c r="C301" s="35">
        <f>IF(A301="","",I300)</f>
        <v>50528.912906610538</v>
      </c>
      <c r="D301" s="35">
        <f>IF(A301="","",C301*Datos!$B$17/Datos!$B$12)</f>
        <v>126.32228226652633</v>
      </c>
      <c r="E301" s="35">
        <f>IF(A301="","",MIN(Datos!$B$20,C301+D301))</f>
        <v>843.20806745890093</v>
      </c>
      <c r="F301" s="35">
        <f>IF(A301="","",MAX(0,E301-D301))</f>
        <v>716.88578519237456</v>
      </c>
      <c r="G301" s="36">
        <v>0</v>
      </c>
      <c r="H301" s="35">
        <f>IF(A301="","",MIN(C301,F301+G301))</f>
        <v>716.88578519237456</v>
      </c>
      <c r="I301" s="35">
        <f>IF(A301="","",MAX(0,C301-H301))</f>
        <v>49812.027121418163</v>
      </c>
      <c r="J301" s="35">
        <f>IF(A301="","",D301+H301)</f>
        <v>843.20806745890093</v>
      </c>
    </row>
    <row r="302" spans="1:10" ht="15" customHeight="1">
      <c r="A302" s="32">
        <f>IF(297&lt;=Datos!$B$13,297,"")</f>
        <v>297</v>
      </c>
      <c r="B302" s="44">
        <f>IF(A302="","",EDATE(Datos!$B$19,A302-1))</f>
        <v>55274</v>
      </c>
      <c r="C302" s="35">
        <f>IF(A302="","",I301)</f>
        <v>49812.027121418163</v>
      </c>
      <c r="D302" s="35">
        <f>IF(A302="","",C302*Datos!$B$17/Datos!$B$12)</f>
        <v>124.53006780354541</v>
      </c>
      <c r="E302" s="35">
        <f>IF(A302="","",MIN(Datos!$B$20,C302+D302))</f>
        <v>843.20806745890093</v>
      </c>
      <c r="F302" s="35">
        <f>IF(A302="","",MAX(0,E302-D302))</f>
        <v>718.67799965535551</v>
      </c>
      <c r="G302" s="36">
        <v>0</v>
      </c>
      <c r="H302" s="35">
        <f>IF(A302="","",MIN(C302,F302+G302))</f>
        <v>718.67799965535551</v>
      </c>
      <c r="I302" s="35">
        <f>IF(A302="","",MAX(0,C302-H302))</f>
        <v>49093.349121762811</v>
      </c>
      <c r="J302" s="35">
        <f>IF(A302="","",D302+H302)</f>
        <v>843.20806745890093</v>
      </c>
    </row>
    <row r="303" spans="1:10" ht="15" customHeight="1">
      <c r="A303" s="32">
        <f>IF(298&lt;=Datos!$B$13,298,"")</f>
        <v>298</v>
      </c>
      <c r="B303" s="44">
        <f>IF(A303="","",EDATE(Datos!$B$19,A303-1))</f>
        <v>55305</v>
      </c>
      <c r="C303" s="35">
        <f>IF(A303="","",I302)</f>
        <v>49093.349121762811</v>
      </c>
      <c r="D303" s="35">
        <f>IF(A303="","",C303*Datos!$B$17/Datos!$B$12)</f>
        <v>122.73337280440701</v>
      </c>
      <c r="E303" s="35">
        <f>IF(A303="","",MIN(Datos!$B$20,C303+D303))</f>
        <v>843.20806745890093</v>
      </c>
      <c r="F303" s="35">
        <f>IF(A303="","",MAX(0,E303-D303))</f>
        <v>720.47469465449387</v>
      </c>
      <c r="G303" s="36">
        <v>0</v>
      </c>
      <c r="H303" s="35">
        <f>IF(A303="","",MIN(C303,F303+G303))</f>
        <v>720.47469465449387</v>
      </c>
      <c r="I303" s="35">
        <f>IF(A303="","",MAX(0,C303-H303))</f>
        <v>48372.87442710832</v>
      </c>
      <c r="J303" s="35">
        <f>IF(A303="","",D303+H303)</f>
        <v>843.20806745890093</v>
      </c>
    </row>
    <row r="304" spans="1:10" ht="15" customHeight="1">
      <c r="A304" s="32">
        <f>IF(299&lt;=Datos!$B$13,299,"")</f>
        <v>299</v>
      </c>
      <c r="B304" s="44">
        <f>IF(A304="","",EDATE(Datos!$B$19,A304-1))</f>
        <v>55335</v>
      </c>
      <c r="C304" s="35">
        <f>IF(A304="","",I303)</f>
        <v>48372.87442710832</v>
      </c>
      <c r="D304" s="35">
        <f>IF(A304="","",C304*Datos!$B$17/Datos!$B$12)</f>
        <v>120.93218606777079</v>
      </c>
      <c r="E304" s="35">
        <f>IF(A304="","",MIN(Datos!$B$20,C304+D304))</f>
        <v>843.20806745890093</v>
      </c>
      <c r="F304" s="35">
        <f>IF(A304="","",MAX(0,E304-D304))</f>
        <v>722.27588139113016</v>
      </c>
      <c r="G304" s="36">
        <v>0</v>
      </c>
      <c r="H304" s="35">
        <f>IF(A304="","",MIN(C304,F304+G304))</f>
        <v>722.27588139113016</v>
      </c>
      <c r="I304" s="35">
        <f>IF(A304="","",MAX(0,C304-H304))</f>
        <v>47650.598545717192</v>
      </c>
      <c r="J304" s="35">
        <f>IF(A304="","",D304+H304)</f>
        <v>843.20806745890093</v>
      </c>
    </row>
    <row r="305" spans="1:10" ht="15" customHeight="1">
      <c r="A305" s="32">
        <f>IF(300&lt;=Datos!$B$13,300,"")</f>
        <v>300</v>
      </c>
      <c r="B305" s="44">
        <f>IF(A305="","",EDATE(Datos!$B$19,A305-1))</f>
        <v>55366</v>
      </c>
      <c r="C305" s="35">
        <f>IF(A305="","",I304)</f>
        <v>47650.598545717192</v>
      </c>
      <c r="D305" s="35">
        <f>IF(A305="","",C305*Datos!$B$17/Datos!$B$12)</f>
        <v>119.12649636429298</v>
      </c>
      <c r="E305" s="35">
        <f>IF(A305="","",MIN(Datos!$B$20,C305+D305))</f>
        <v>843.20806745890093</v>
      </c>
      <c r="F305" s="35">
        <f>IF(A305="","",MAX(0,E305-D305))</f>
        <v>724.08157109460797</v>
      </c>
      <c r="G305" s="36">
        <v>0</v>
      </c>
      <c r="H305" s="35">
        <f>IF(A305="","",MIN(C305,F305+G305))</f>
        <v>724.08157109460797</v>
      </c>
      <c r="I305" s="35">
        <f>IF(A305="","",MAX(0,C305-H305))</f>
        <v>46926.516974622587</v>
      </c>
      <c r="J305" s="35">
        <f>IF(A305="","",D305+H305)</f>
        <v>843.20806745890093</v>
      </c>
    </row>
    <row r="306" spans="1:10" ht="15" customHeight="1">
      <c r="A306" s="32">
        <f>IF(301&lt;=Datos!$B$13,301,"")</f>
        <v>301</v>
      </c>
      <c r="B306" s="44">
        <f>IF(A306="","",EDATE(Datos!$B$19,A306-1))</f>
        <v>55397</v>
      </c>
      <c r="C306" s="35">
        <f>IF(A306="","",I305)</f>
        <v>46926.516974622587</v>
      </c>
      <c r="D306" s="35">
        <f>IF(A306="","",C306*Datos!$B$17/Datos!$B$12)</f>
        <v>117.31629243655647</v>
      </c>
      <c r="E306" s="35">
        <f>IF(A306="","",MIN(Datos!$B$20,C306+D306))</f>
        <v>843.20806745890093</v>
      </c>
      <c r="F306" s="35">
        <f>IF(A306="","",MAX(0,E306-D306))</f>
        <v>725.89177502234452</v>
      </c>
      <c r="G306" s="36">
        <v>0</v>
      </c>
      <c r="H306" s="35">
        <f>IF(A306="","",MIN(C306,F306+G306))</f>
        <v>725.89177502234452</v>
      </c>
      <c r="I306" s="35">
        <f>IF(A306="","",MAX(0,C306-H306))</f>
        <v>46200.625199600239</v>
      </c>
      <c r="J306" s="35">
        <f>IF(A306="","",D306+H306)</f>
        <v>843.20806745890104</v>
      </c>
    </row>
    <row r="307" spans="1:10" ht="15" customHeight="1">
      <c r="A307" s="32">
        <f>IF(302&lt;=Datos!$B$13,302,"")</f>
        <v>302</v>
      </c>
      <c r="B307" s="44">
        <f>IF(A307="","",EDATE(Datos!$B$19,A307-1))</f>
        <v>55427</v>
      </c>
      <c r="C307" s="35">
        <f>IF(A307="","",I306)</f>
        <v>46200.625199600239</v>
      </c>
      <c r="D307" s="35">
        <f>IF(A307="","",C307*Datos!$B$17/Datos!$B$12)</f>
        <v>115.5015629990006</v>
      </c>
      <c r="E307" s="35">
        <f>IF(A307="","",MIN(Datos!$B$20,C307+D307))</f>
        <v>843.20806745890093</v>
      </c>
      <c r="F307" s="35">
        <f>IF(A307="","",MAX(0,E307-D307))</f>
        <v>727.70650445990032</v>
      </c>
      <c r="G307" s="36">
        <v>0</v>
      </c>
      <c r="H307" s="35">
        <f>IF(A307="","",MIN(C307,F307+G307))</f>
        <v>727.70650445990032</v>
      </c>
      <c r="I307" s="35">
        <f>IF(A307="","",MAX(0,C307-H307))</f>
        <v>45472.918695140339</v>
      </c>
      <c r="J307" s="35">
        <f>IF(A307="","",D307+H307)</f>
        <v>843.20806745890093</v>
      </c>
    </row>
    <row r="308" spans="1:10" ht="15" customHeight="1">
      <c r="A308" s="32">
        <f>IF(303&lt;=Datos!$B$13,303,"")</f>
        <v>303</v>
      </c>
      <c r="B308" s="44">
        <f>IF(A308="","",EDATE(Datos!$B$19,A308-1))</f>
        <v>55458</v>
      </c>
      <c r="C308" s="35">
        <f>IF(A308="","",I307)</f>
        <v>45472.918695140339</v>
      </c>
      <c r="D308" s="35">
        <f>IF(A308="","",C308*Datos!$B$17/Datos!$B$12)</f>
        <v>113.68229673785083</v>
      </c>
      <c r="E308" s="35">
        <f>IF(A308="","",MIN(Datos!$B$20,C308+D308))</f>
        <v>843.20806745890093</v>
      </c>
      <c r="F308" s="35">
        <f>IF(A308="","",MAX(0,E308-D308))</f>
        <v>729.52577072105009</v>
      </c>
      <c r="G308" s="36">
        <v>0</v>
      </c>
      <c r="H308" s="35">
        <f>IF(A308="","",MIN(C308,F308+G308))</f>
        <v>729.52577072105009</v>
      </c>
      <c r="I308" s="35">
        <f>IF(A308="","",MAX(0,C308-H308))</f>
        <v>44743.392924419291</v>
      </c>
      <c r="J308" s="35">
        <f>IF(A308="","",D308+H308)</f>
        <v>843.20806745890093</v>
      </c>
    </row>
    <row r="309" spans="1:10" ht="15" customHeight="1">
      <c r="A309" s="32">
        <f>IF(304&lt;=Datos!$B$13,304,"")</f>
        <v>304</v>
      </c>
      <c r="B309" s="44">
        <f>IF(A309="","",EDATE(Datos!$B$19,A309-1))</f>
        <v>55488</v>
      </c>
      <c r="C309" s="35">
        <f>IF(A309="","",I308)</f>
        <v>44743.392924419291</v>
      </c>
      <c r="D309" s="35">
        <f>IF(A309="","",C309*Datos!$B$17/Datos!$B$12)</f>
        <v>111.85848231104823</v>
      </c>
      <c r="E309" s="35">
        <f>IF(A309="","",MIN(Datos!$B$20,C309+D309))</f>
        <v>843.20806745890093</v>
      </c>
      <c r="F309" s="35">
        <f>IF(A309="","",MAX(0,E309-D309))</f>
        <v>731.34958514785274</v>
      </c>
      <c r="G309" s="36">
        <v>0</v>
      </c>
      <c r="H309" s="35">
        <f>IF(A309="","",MIN(C309,F309+G309))</f>
        <v>731.34958514785274</v>
      </c>
      <c r="I309" s="35">
        <f>IF(A309="","",MAX(0,C309-H309))</f>
        <v>44012.04333927144</v>
      </c>
      <c r="J309" s="35">
        <f>IF(A309="","",D309+H309)</f>
        <v>843.20806745890093</v>
      </c>
    </row>
    <row r="310" spans="1:10" ht="15" customHeight="1">
      <c r="A310" s="32">
        <f>IF(305&lt;=Datos!$B$13,305,"")</f>
        <v>305</v>
      </c>
      <c r="B310" s="44">
        <f>IF(A310="","",EDATE(Datos!$B$19,A310-1))</f>
        <v>55519</v>
      </c>
      <c r="C310" s="35">
        <f>IF(A310="","",I309)</f>
        <v>44012.04333927144</v>
      </c>
      <c r="D310" s="35">
        <f>IF(A310="","",C310*Datos!$B$17/Datos!$B$12)</f>
        <v>110.0301083481786</v>
      </c>
      <c r="E310" s="35">
        <f>IF(A310="","",MIN(Datos!$B$20,C310+D310))</f>
        <v>843.20806745890093</v>
      </c>
      <c r="F310" s="35">
        <f>IF(A310="","",MAX(0,E310-D310))</f>
        <v>733.17795911072233</v>
      </c>
      <c r="G310" s="36">
        <v>0</v>
      </c>
      <c r="H310" s="35">
        <f>IF(A310="","",MIN(C310,F310+G310))</f>
        <v>733.17795911072233</v>
      </c>
      <c r="I310" s="35">
        <f>IF(A310="","",MAX(0,C310-H310))</f>
        <v>43278.865380160722</v>
      </c>
      <c r="J310" s="35">
        <f>IF(A310="","",D310+H310)</f>
        <v>843.20806745890093</v>
      </c>
    </row>
    <row r="311" spans="1:10" ht="15" customHeight="1">
      <c r="A311" s="32">
        <f>IF(306&lt;=Datos!$B$13,306,"")</f>
        <v>306</v>
      </c>
      <c r="B311" s="44">
        <f>IF(A311="","",EDATE(Datos!$B$19,A311-1))</f>
        <v>55550</v>
      </c>
      <c r="C311" s="35">
        <f>IF(A311="","",I310)</f>
        <v>43278.865380160722</v>
      </c>
      <c r="D311" s="35">
        <f>IF(A311="","",C311*Datos!$B$17/Datos!$B$12)</f>
        <v>108.19716345040179</v>
      </c>
      <c r="E311" s="35">
        <f>IF(A311="","",MIN(Datos!$B$20,C311+D311))</f>
        <v>843.20806745890093</v>
      </c>
      <c r="F311" s="35">
        <f>IF(A311="","",MAX(0,E311-D311))</f>
        <v>735.0109040084991</v>
      </c>
      <c r="G311" s="36">
        <v>0</v>
      </c>
      <c r="H311" s="35">
        <f>IF(A311="","",MIN(C311,F311+G311))</f>
        <v>735.0109040084991</v>
      </c>
      <c r="I311" s="35">
        <f>IF(A311="","",MAX(0,C311-H311))</f>
        <v>42543.854476152221</v>
      </c>
      <c r="J311" s="35">
        <f>IF(A311="","",D311+H311)</f>
        <v>843.20806745890093</v>
      </c>
    </row>
    <row r="312" spans="1:10" ht="15" customHeight="1">
      <c r="A312" s="32">
        <f>IF(307&lt;=Datos!$B$13,307,"")</f>
        <v>307</v>
      </c>
      <c r="B312" s="44">
        <f>IF(A312="","",EDATE(Datos!$B$19,A312-1))</f>
        <v>55579</v>
      </c>
      <c r="C312" s="35">
        <f>IF(A312="","",I311)</f>
        <v>42543.854476152221</v>
      </c>
      <c r="D312" s="35">
        <f>IF(A312="","",C312*Datos!$B$17/Datos!$B$12)</f>
        <v>106.35963619038056</v>
      </c>
      <c r="E312" s="35">
        <f>IF(A312="","",MIN(Datos!$B$20,C312+D312))</f>
        <v>843.20806745890093</v>
      </c>
      <c r="F312" s="35">
        <f>IF(A312="","",MAX(0,E312-D312))</f>
        <v>736.84843126852036</v>
      </c>
      <c r="G312" s="36">
        <v>0</v>
      </c>
      <c r="H312" s="35">
        <f>IF(A312="","",MIN(C312,F312+G312))</f>
        <v>736.84843126852036</v>
      </c>
      <c r="I312" s="35">
        <f>IF(A312="","",MAX(0,C312-H312))</f>
        <v>41807.006044883703</v>
      </c>
      <c r="J312" s="35">
        <f>IF(A312="","",D312+H312)</f>
        <v>843.20806745890093</v>
      </c>
    </row>
    <row r="313" spans="1:10" ht="15" customHeight="1">
      <c r="A313" s="32">
        <f>IF(308&lt;=Datos!$B$13,308,"")</f>
        <v>308</v>
      </c>
      <c r="B313" s="44">
        <f>IF(A313="","",EDATE(Datos!$B$19,A313-1))</f>
        <v>55610</v>
      </c>
      <c r="C313" s="35">
        <f>IF(A313="","",I312)</f>
        <v>41807.006044883703</v>
      </c>
      <c r="D313" s="35">
        <f>IF(A313="","",C313*Datos!$B$17/Datos!$B$12)</f>
        <v>104.51751511220925</v>
      </c>
      <c r="E313" s="35">
        <f>IF(A313="","",MIN(Datos!$B$20,C313+D313))</f>
        <v>843.20806745890093</v>
      </c>
      <c r="F313" s="35">
        <f>IF(A313="","",MAX(0,E313-D313))</f>
        <v>738.69055234669167</v>
      </c>
      <c r="G313" s="36">
        <v>0</v>
      </c>
      <c r="H313" s="35">
        <f>IF(A313="","",MIN(C313,F313+G313))</f>
        <v>738.69055234669167</v>
      </c>
      <c r="I313" s="35">
        <f>IF(A313="","",MAX(0,C313-H313))</f>
        <v>41068.315492537011</v>
      </c>
      <c r="J313" s="35">
        <f>IF(A313="","",D313+H313)</f>
        <v>843.20806745890093</v>
      </c>
    </row>
    <row r="314" spans="1:10" ht="15" customHeight="1">
      <c r="A314" s="32">
        <f>IF(309&lt;=Datos!$B$13,309,"")</f>
        <v>309</v>
      </c>
      <c r="B314" s="44">
        <f>IF(A314="","",EDATE(Datos!$B$19,A314-1))</f>
        <v>55640</v>
      </c>
      <c r="C314" s="35">
        <f>IF(A314="","",I313)</f>
        <v>41068.315492537011</v>
      </c>
      <c r="D314" s="35">
        <f>IF(A314="","",C314*Datos!$B$17/Datos!$B$12)</f>
        <v>102.67078873134251</v>
      </c>
      <c r="E314" s="35">
        <f>IF(A314="","",MIN(Datos!$B$20,C314+D314))</f>
        <v>843.20806745890093</v>
      </c>
      <c r="F314" s="35">
        <f>IF(A314="","",MAX(0,E314-D314))</f>
        <v>740.53727872755837</v>
      </c>
      <c r="G314" s="36">
        <v>0</v>
      </c>
      <c r="H314" s="35">
        <f>IF(A314="","",MIN(C314,F314+G314))</f>
        <v>740.53727872755837</v>
      </c>
      <c r="I314" s="35">
        <f>IF(A314="","",MAX(0,C314-H314))</f>
        <v>40327.778213809455</v>
      </c>
      <c r="J314" s="35">
        <f>IF(A314="","",D314+H314)</f>
        <v>843.20806745890093</v>
      </c>
    </row>
    <row r="315" spans="1:10" ht="15" customHeight="1">
      <c r="A315" s="32">
        <f>IF(310&lt;=Datos!$B$13,310,"")</f>
        <v>310</v>
      </c>
      <c r="B315" s="44">
        <f>IF(A315="","",EDATE(Datos!$B$19,A315-1))</f>
        <v>55671</v>
      </c>
      <c r="C315" s="35">
        <f>IF(A315="","",I314)</f>
        <v>40327.778213809455</v>
      </c>
      <c r="D315" s="35">
        <f>IF(A315="","",C315*Datos!$B$17/Datos!$B$12)</f>
        <v>100.81944553452364</v>
      </c>
      <c r="E315" s="35">
        <f>IF(A315="","",MIN(Datos!$B$20,C315+D315))</f>
        <v>843.20806745890093</v>
      </c>
      <c r="F315" s="35">
        <f>IF(A315="","",MAX(0,E315-D315))</f>
        <v>742.38862192437728</v>
      </c>
      <c r="G315" s="36">
        <v>0</v>
      </c>
      <c r="H315" s="35">
        <f>IF(A315="","",MIN(C315,F315+G315))</f>
        <v>742.38862192437728</v>
      </c>
      <c r="I315" s="35">
        <f>IF(A315="","",MAX(0,C315-H315))</f>
        <v>39585.389591885076</v>
      </c>
      <c r="J315" s="35">
        <f>IF(A315="","",D315+H315)</f>
        <v>843.20806745890093</v>
      </c>
    </row>
    <row r="316" spans="1:10" ht="15" customHeight="1">
      <c r="A316" s="32">
        <f>IF(311&lt;=Datos!$B$13,311,"")</f>
        <v>311</v>
      </c>
      <c r="B316" s="44">
        <f>IF(A316="","",EDATE(Datos!$B$19,A316-1))</f>
        <v>55701</v>
      </c>
      <c r="C316" s="35">
        <f>IF(A316="","",I315)</f>
        <v>39585.389591885076</v>
      </c>
      <c r="D316" s="35">
        <f>IF(A316="","",C316*Datos!$B$17/Datos!$B$12)</f>
        <v>98.963473979712674</v>
      </c>
      <c r="E316" s="35">
        <f>IF(A316="","",MIN(Datos!$B$20,C316+D316))</f>
        <v>843.20806745890093</v>
      </c>
      <c r="F316" s="35">
        <f>IF(A316="","",MAX(0,E316-D316))</f>
        <v>744.24459347918821</v>
      </c>
      <c r="G316" s="36">
        <v>0</v>
      </c>
      <c r="H316" s="35">
        <f>IF(A316="","",MIN(C316,F316+G316))</f>
        <v>744.24459347918821</v>
      </c>
      <c r="I316" s="35">
        <f>IF(A316="","",MAX(0,C316-H316))</f>
        <v>38841.144998405885</v>
      </c>
      <c r="J316" s="35">
        <f>IF(A316="","",D316+H316)</f>
        <v>843.20806745890093</v>
      </c>
    </row>
    <row r="317" spans="1:10" ht="15" customHeight="1">
      <c r="A317" s="32">
        <f>IF(312&lt;=Datos!$B$13,312,"")</f>
        <v>312</v>
      </c>
      <c r="B317" s="44">
        <f>IF(A317="","",EDATE(Datos!$B$19,A317-1))</f>
        <v>55732</v>
      </c>
      <c r="C317" s="35">
        <f>IF(A317="","",I316)</f>
        <v>38841.144998405885</v>
      </c>
      <c r="D317" s="35">
        <f>IF(A317="","",C317*Datos!$B$17/Datos!$B$12)</f>
        <v>97.102862496014708</v>
      </c>
      <c r="E317" s="35">
        <f>IF(A317="","",MIN(Datos!$B$20,C317+D317))</f>
        <v>843.20806745890093</v>
      </c>
      <c r="F317" s="35">
        <f>IF(A317="","",MAX(0,E317-D317))</f>
        <v>746.10520496288621</v>
      </c>
      <c r="G317" s="36">
        <v>0</v>
      </c>
      <c r="H317" s="35">
        <f>IF(A317="","",MIN(C317,F317+G317))</f>
        <v>746.10520496288621</v>
      </c>
      <c r="I317" s="35">
        <f>IF(A317="","",MAX(0,C317-H317))</f>
        <v>38095.039793443</v>
      </c>
      <c r="J317" s="35">
        <f>IF(A317="","",D317+H317)</f>
        <v>843.20806745890093</v>
      </c>
    </row>
    <row r="318" spans="1:10" ht="15" customHeight="1">
      <c r="A318" s="32">
        <f>IF(313&lt;=Datos!$B$13,313,"")</f>
        <v>313</v>
      </c>
      <c r="B318" s="44">
        <f>IF(A318="","",EDATE(Datos!$B$19,A318-1))</f>
        <v>55763</v>
      </c>
      <c r="C318" s="35">
        <f>IF(A318="","",I317)</f>
        <v>38095.039793443</v>
      </c>
      <c r="D318" s="35">
        <f>IF(A318="","",C318*Datos!$B$17/Datos!$B$12)</f>
        <v>95.237599483607497</v>
      </c>
      <c r="E318" s="35">
        <f>IF(A318="","",MIN(Datos!$B$20,C318+D318))</f>
        <v>843.20806745890093</v>
      </c>
      <c r="F318" s="35">
        <f>IF(A318="","",MAX(0,E318-D318))</f>
        <v>747.97046797529345</v>
      </c>
      <c r="G318" s="36">
        <v>0</v>
      </c>
      <c r="H318" s="35">
        <f>IF(A318="","",MIN(C318,F318+G318))</f>
        <v>747.97046797529345</v>
      </c>
      <c r="I318" s="35">
        <f>IF(A318="","",MAX(0,C318-H318))</f>
        <v>37347.06932546771</v>
      </c>
      <c r="J318" s="35">
        <f>IF(A318="","",D318+H318)</f>
        <v>843.20806745890093</v>
      </c>
    </row>
    <row r="319" spans="1:10" ht="15" customHeight="1">
      <c r="A319" s="32">
        <f>IF(314&lt;=Datos!$B$13,314,"")</f>
        <v>314</v>
      </c>
      <c r="B319" s="44">
        <f>IF(A319="","",EDATE(Datos!$B$19,A319-1))</f>
        <v>55793</v>
      </c>
      <c r="C319" s="35">
        <f>IF(A319="","",I318)</f>
        <v>37347.06932546771</v>
      </c>
      <c r="D319" s="35">
        <f>IF(A319="","",C319*Datos!$B$17/Datos!$B$12)</f>
        <v>93.367673313669272</v>
      </c>
      <c r="E319" s="35">
        <f>IF(A319="","",MIN(Datos!$B$20,C319+D319))</f>
        <v>843.20806745890093</v>
      </c>
      <c r="F319" s="35">
        <f>IF(A319="","",MAX(0,E319-D319))</f>
        <v>749.8403941452317</v>
      </c>
      <c r="G319" s="36">
        <v>0</v>
      </c>
      <c r="H319" s="35">
        <f>IF(A319="","",MIN(C319,F319+G319))</f>
        <v>749.8403941452317</v>
      </c>
      <c r="I319" s="35">
        <f>IF(A319="","",MAX(0,C319-H319))</f>
        <v>36597.228931322476</v>
      </c>
      <c r="J319" s="35">
        <f>IF(A319="","",D319+H319)</f>
        <v>843.20806745890093</v>
      </c>
    </row>
    <row r="320" spans="1:10" ht="15" customHeight="1">
      <c r="A320" s="32">
        <f>IF(315&lt;=Datos!$B$13,315,"")</f>
        <v>315</v>
      </c>
      <c r="B320" s="44">
        <f>IF(A320="","",EDATE(Datos!$B$19,A320-1))</f>
        <v>55824</v>
      </c>
      <c r="C320" s="35">
        <f>IF(A320="","",I319)</f>
        <v>36597.228931322476</v>
      </c>
      <c r="D320" s="35">
        <f>IF(A320="","",C320*Datos!$B$17/Datos!$B$12)</f>
        <v>91.493072328306184</v>
      </c>
      <c r="E320" s="35">
        <f>IF(A320="","",MIN(Datos!$B$20,C320+D320))</f>
        <v>843.20806745890093</v>
      </c>
      <c r="F320" s="35">
        <f>IF(A320="","",MAX(0,E320-D320))</f>
        <v>751.71499513059473</v>
      </c>
      <c r="G320" s="36">
        <v>0</v>
      </c>
      <c r="H320" s="35">
        <f>IF(A320="","",MIN(C320,F320+G320))</f>
        <v>751.71499513059473</v>
      </c>
      <c r="I320" s="35">
        <f>IF(A320="","",MAX(0,C320-H320))</f>
        <v>35845.513936191877</v>
      </c>
      <c r="J320" s="35">
        <f>IF(A320="","",D320+H320)</f>
        <v>843.20806745890093</v>
      </c>
    </row>
    <row r="321" spans="1:10" ht="15" customHeight="1">
      <c r="A321" s="32">
        <f>IF(316&lt;=Datos!$B$13,316,"")</f>
        <v>316</v>
      </c>
      <c r="B321" s="44">
        <f>IF(A321="","",EDATE(Datos!$B$19,A321-1))</f>
        <v>55854</v>
      </c>
      <c r="C321" s="35">
        <f>IF(A321="","",I320)</f>
        <v>35845.513936191877</v>
      </c>
      <c r="D321" s="35">
        <f>IF(A321="","",C321*Datos!$B$17/Datos!$B$12)</f>
        <v>89.613784840479696</v>
      </c>
      <c r="E321" s="35">
        <f>IF(A321="","",MIN(Datos!$B$20,C321+D321))</f>
        <v>843.20806745890093</v>
      </c>
      <c r="F321" s="35">
        <f>IF(A321="","",MAX(0,E321-D321))</f>
        <v>753.59428261842118</v>
      </c>
      <c r="G321" s="36">
        <v>0</v>
      </c>
      <c r="H321" s="35">
        <f>IF(A321="","",MIN(C321,F321+G321))</f>
        <v>753.59428261842118</v>
      </c>
      <c r="I321" s="35">
        <f>IF(A321="","",MAX(0,C321-H321))</f>
        <v>35091.919653573459</v>
      </c>
      <c r="J321" s="35">
        <f>IF(A321="","",D321+H321)</f>
        <v>843.20806745890081</v>
      </c>
    </row>
    <row r="322" spans="1:10" ht="15" customHeight="1">
      <c r="A322" s="32">
        <f>IF(317&lt;=Datos!$B$13,317,"")</f>
        <v>317</v>
      </c>
      <c r="B322" s="44">
        <f>IF(A322="","",EDATE(Datos!$B$19,A322-1))</f>
        <v>55885</v>
      </c>
      <c r="C322" s="35">
        <f>IF(A322="","",I321)</f>
        <v>35091.919653573459</v>
      </c>
      <c r="D322" s="35">
        <f>IF(A322="","",C322*Datos!$B$17/Datos!$B$12)</f>
        <v>87.729799133933639</v>
      </c>
      <c r="E322" s="35">
        <f>IF(A322="","",MIN(Datos!$B$20,C322+D322))</f>
        <v>843.20806745890093</v>
      </c>
      <c r="F322" s="35">
        <f>IF(A322="","",MAX(0,E322-D322))</f>
        <v>755.4782683249673</v>
      </c>
      <c r="G322" s="36">
        <v>0</v>
      </c>
      <c r="H322" s="35">
        <f>IF(A322="","",MIN(C322,F322+G322))</f>
        <v>755.4782683249673</v>
      </c>
      <c r="I322" s="35">
        <f>IF(A322="","",MAX(0,C322-H322))</f>
        <v>34336.441385248494</v>
      </c>
      <c r="J322" s="35">
        <f>IF(A322="","",D322+H322)</f>
        <v>843.20806745890093</v>
      </c>
    </row>
    <row r="323" spans="1:10" ht="15" customHeight="1">
      <c r="A323" s="32">
        <f>IF(318&lt;=Datos!$B$13,318,"")</f>
        <v>318</v>
      </c>
      <c r="B323" s="44">
        <f>IF(A323="","",EDATE(Datos!$B$19,A323-1))</f>
        <v>55916</v>
      </c>
      <c r="C323" s="35">
        <f>IF(A323="","",I322)</f>
        <v>34336.441385248494</v>
      </c>
      <c r="D323" s="35">
        <f>IF(A323="","",C323*Datos!$B$17/Datos!$B$12)</f>
        <v>85.841103463121229</v>
      </c>
      <c r="E323" s="35">
        <f>IF(A323="","",MIN(Datos!$B$20,C323+D323))</f>
        <v>843.20806745890093</v>
      </c>
      <c r="F323" s="35">
        <f>IF(A323="","",MAX(0,E323-D323))</f>
        <v>757.36696399577966</v>
      </c>
      <c r="G323" s="36">
        <v>0</v>
      </c>
      <c r="H323" s="35">
        <f>IF(A323="","",MIN(C323,F323+G323))</f>
        <v>757.36696399577966</v>
      </c>
      <c r="I323" s="35">
        <f>IF(A323="","",MAX(0,C323-H323))</f>
        <v>33579.074421252713</v>
      </c>
      <c r="J323" s="35">
        <f>IF(A323="","",D323+H323)</f>
        <v>843.20806745890093</v>
      </c>
    </row>
    <row r="324" spans="1:10" ht="15" customHeight="1">
      <c r="A324" s="32">
        <f>IF(319&lt;=Datos!$B$13,319,"")</f>
        <v>319</v>
      </c>
      <c r="B324" s="44">
        <f>IF(A324="","",EDATE(Datos!$B$19,A324-1))</f>
        <v>55944</v>
      </c>
      <c r="C324" s="35">
        <f>IF(A324="","",I323)</f>
        <v>33579.074421252713</v>
      </c>
      <c r="D324" s="35">
        <f>IF(A324="","",C324*Datos!$B$17/Datos!$B$12)</f>
        <v>83.94768605313179</v>
      </c>
      <c r="E324" s="35">
        <f>IF(A324="","",MIN(Datos!$B$20,C324+D324))</f>
        <v>843.20806745890093</v>
      </c>
      <c r="F324" s="35">
        <f>IF(A324="","",MAX(0,E324-D324))</f>
        <v>759.26038140576918</v>
      </c>
      <c r="G324" s="36">
        <v>0</v>
      </c>
      <c r="H324" s="35">
        <f>IF(A324="","",MIN(C324,F324+G324))</f>
        <v>759.26038140576918</v>
      </c>
      <c r="I324" s="35">
        <f>IF(A324="","",MAX(0,C324-H324))</f>
        <v>32819.814039846948</v>
      </c>
      <c r="J324" s="35">
        <f>IF(A324="","",D324+H324)</f>
        <v>843.20806745890093</v>
      </c>
    </row>
    <row r="325" spans="1:10" ht="15" customHeight="1">
      <c r="A325" s="32">
        <f>IF(320&lt;=Datos!$B$13,320,"")</f>
        <v>320</v>
      </c>
      <c r="B325" s="44">
        <f>IF(A325="","",EDATE(Datos!$B$19,A325-1))</f>
        <v>55975</v>
      </c>
      <c r="C325" s="35">
        <f>IF(A325="","",I324)</f>
        <v>32819.814039846948</v>
      </c>
      <c r="D325" s="35">
        <f>IF(A325="","",C325*Datos!$B$17/Datos!$B$12)</f>
        <v>82.049535099617358</v>
      </c>
      <c r="E325" s="35">
        <f>IF(A325="","",MIN(Datos!$B$20,C325+D325))</f>
        <v>843.20806745890093</v>
      </c>
      <c r="F325" s="35">
        <f>IF(A325="","",MAX(0,E325-D325))</f>
        <v>761.15853235928353</v>
      </c>
      <c r="G325" s="36">
        <v>0</v>
      </c>
      <c r="H325" s="35">
        <f>IF(A325="","",MIN(C325,F325+G325))</f>
        <v>761.15853235928353</v>
      </c>
      <c r="I325" s="35">
        <f>IF(A325="","",MAX(0,C325-H325))</f>
        <v>32058.655507487663</v>
      </c>
      <c r="J325" s="35">
        <f>IF(A325="","",D325+H325)</f>
        <v>843.20806745890093</v>
      </c>
    </row>
    <row r="326" spans="1:10" ht="15" customHeight="1">
      <c r="A326" s="32">
        <f>IF(321&lt;=Datos!$B$13,321,"")</f>
        <v>321</v>
      </c>
      <c r="B326" s="44">
        <f>IF(A326="","",EDATE(Datos!$B$19,A326-1))</f>
        <v>56005</v>
      </c>
      <c r="C326" s="35">
        <f>IF(A326="","",I325)</f>
        <v>32058.655507487663</v>
      </c>
      <c r="D326" s="35">
        <f>IF(A326="","",C326*Datos!$B$17/Datos!$B$12)</f>
        <v>80.146638768719157</v>
      </c>
      <c r="E326" s="35">
        <f>IF(A326="","",MIN(Datos!$B$20,C326+D326))</f>
        <v>843.20806745890093</v>
      </c>
      <c r="F326" s="35">
        <f>IF(A326="","",MAX(0,E326-D326))</f>
        <v>763.06142869018174</v>
      </c>
      <c r="G326" s="36">
        <v>0</v>
      </c>
      <c r="H326" s="35">
        <f>IF(A326="","",MIN(C326,F326+G326))</f>
        <v>763.06142869018174</v>
      </c>
      <c r="I326" s="35">
        <f>IF(A326="","",MAX(0,C326-H326))</f>
        <v>31295.594078797483</v>
      </c>
      <c r="J326" s="35">
        <f>IF(A326="","",D326+H326)</f>
        <v>843.20806745890093</v>
      </c>
    </row>
    <row r="327" spans="1:10" ht="15" customHeight="1">
      <c r="A327" s="32">
        <f>IF(322&lt;=Datos!$B$13,322,"")</f>
        <v>322</v>
      </c>
      <c r="B327" s="44">
        <f>IF(A327="","",EDATE(Datos!$B$19,A327-1))</f>
        <v>56036</v>
      </c>
      <c r="C327" s="35">
        <f>IF(A327="","",I326)</f>
        <v>31295.594078797483</v>
      </c>
      <c r="D327" s="35">
        <f>IF(A327="","",C327*Datos!$B$17/Datos!$B$12)</f>
        <v>78.23898519699371</v>
      </c>
      <c r="E327" s="35">
        <f>IF(A327="","",MIN(Datos!$B$20,C327+D327))</f>
        <v>843.20806745890093</v>
      </c>
      <c r="F327" s="35">
        <f>IF(A327="","",MAX(0,E327-D327))</f>
        <v>764.96908226190726</v>
      </c>
      <c r="G327" s="36">
        <v>0</v>
      </c>
      <c r="H327" s="35">
        <f>IF(A327="","",MIN(C327,F327+G327))</f>
        <v>764.96908226190726</v>
      </c>
      <c r="I327" s="35">
        <f>IF(A327="","",MAX(0,C327-H327))</f>
        <v>30530.624996535575</v>
      </c>
      <c r="J327" s="35">
        <f>IF(A327="","",D327+H327)</f>
        <v>843.20806745890093</v>
      </c>
    </row>
    <row r="328" spans="1:10" ht="15" customHeight="1">
      <c r="A328" s="32">
        <f>IF(323&lt;=Datos!$B$13,323,"")</f>
        <v>323</v>
      </c>
      <c r="B328" s="44">
        <f>IF(A328="","",EDATE(Datos!$B$19,A328-1))</f>
        <v>56066</v>
      </c>
      <c r="C328" s="35">
        <f>IF(A328="","",I327)</f>
        <v>30530.624996535575</v>
      </c>
      <c r="D328" s="35">
        <f>IF(A328="","",C328*Datos!$B$17/Datos!$B$12)</f>
        <v>76.326562491338933</v>
      </c>
      <c r="E328" s="35">
        <f>IF(A328="","",MIN(Datos!$B$20,C328+D328))</f>
        <v>843.20806745890093</v>
      </c>
      <c r="F328" s="35">
        <f>IF(A328="","",MAX(0,E328-D328))</f>
        <v>766.88150496756202</v>
      </c>
      <c r="G328" s="36">
        <v>0</v>
      </c>
      <c r="H328" s="35">
        <f>IF(A328="","",MIN(C328,F328+G328))</f>
        <v>766.88150496756202</v>
      </c>
      <c r="I328" s="35">
        <f>IF(A328="","",MAX(0,C328-H328))</f>
        <v>29763.743491568013</v>
      </c>
      <c r="J328" s="35">
        <f>IF(A328="","",D328+H328)</f>
        <v>843.20806745890093</v>
      </c>
    </row>
    <row r="329" spans="1:10" ht="15" customHeight="1">
      <c r="A329" s="32">
        <f>IF(324&lt;=Datos!$B$13,324,"")</f>
        <v>324</v>
      </c>
      <c r="B329" s="44">
        <f>IF(A329="","",EDATE(Datos!$B$19,A329-1))</f>
        <v>56097</v>
      </c>
      <c r="C329" s="35">
        <f>IF(A329="","",I328)</f>
        <v>29763.743491568013</v>
      </c>
      <c r="D329" s="35">
        <f>IF(A329="","",C329*Datos!$B$17/Datos!$B$12)</f>
        <v>74.409358728920026</v>
      </c>
      <c r="E329" s="35">
        <f>IF(A329="","",MIN(Datos!$B$20,C329+D329))</f>
        <v>843.20806745890093</v>
      </c>
      <c r="F329" s="35">
        <f>IF(A329="","",MAX(0,E329-D329))</f>
        <v>768.79870872998094</v>
      </c>
      <c r="G329" s="36">
        <v>0</v>
      </c>
      <c r="H329" s="35">
        <f>IF(A329="","",MIN(C329,F329+G329))</f>
        <v>768.79870872998094</v>
      </c>
      <c r="I329" s="35">
        <f>IF(A329="","",MAX(0,C329-H329))</f>
        <v>28994.944782838033</v>
      </c>
      <c r="J329" s="35">
        <f>IF(A329="","",D329+H329)</f>
        <v>843.20806745890093</v>
      </c>
    </row>
    <row r="330" spans="1:10" ht="15" customHeight="1">
      <c r="A330" s="32">
        <f>IF(325&lt;=Datos!$B$13,325,"")</f>
        <v>325</v>
      </c>
      <c r="B330" s="44">
        <f>IF(A330="","",EDATE(Datos!$B$19,A330-1))</f>
        <v>56128</v>
      </c>
      <c r="C330" s="35">
        <f>IF(A330="","",I329)</f>
        <v>28994.944782838033</v>
      </c>
      <c r="D330" s="35">
        <f>IF(A330="","",C330*Datos!$B$17/Datos!$B$12)</f>
        <v>72.487361957095075</v>
      </c>
      <c r="E330" s="35">
        <f>IF(A330="","",MIN(Datos!$B$20,C330+D330))</f>
        <v>843.20806745890093</v>
      </c>
      <c r="F330" s="35">
        <f>IF(A330="","",MAX(0,E330-D330))</f>
        <v>770.72070550180581</v>
      </c>
      <c r="G330" s="36">
        <v>0</v>
      </c>
      <c r="H330" s="35">
        <f>IF(A330="","",MIN(C330,F330+G330))</f>
        <v>770.72070550180581</v>
      </c>
      <c r="I330" s="35">
        <f>IF(A330="","",MAX(0,C330-H330))</f>
        <v>28224.224077336228</v>
      </c>
      <c r="J330" s="35">
        <f>IF(A330="","",D330+H330)</f>
        <v>843.20806745890093</v>
      </c>
    </row>
    <row r="331" spans="1:10" ht="15" customHeight="1">
      <c r="A331" s="32">
        <f>IF(326&lt;=Datos!$B$13,326,"")</f>
        <v>326</v>
      </c>
      <c r="B331" s="44">
        <f>IF(A331="","",EDATE(Datos!$B$19,A331-1))</f>
        <v>56158</v>
      </c>
      <c r="C331" s="35">
        <f>IF(A331="","",I330)</f>
        <v>28224.224077336228</v>
      </c>
      <c r="D331" s="35">
        <f>IF(A331="","",C331*Datos!$B$17/Datos!$B$12)</f>
        <v>70.560560193340564</v>
      </c>
      <c r="E331" s="35">
        <f>IF(A331="","",MIN(Datos!$B$20,C331+D331))</f>
        <v>843.20806745890093</v>
      </c>
      <c r="F331" s="35">
        <f>IF(A331="","",MAX(0,E331-D331))</f>
        <v>772.64750726556031</v>
      </c>
      <c r="G331" s="36">
        <v>0</v>
      </c>
      <c r="H331" s="35">
        <f>IF(A331="","",MIN(C331,F331+G331))</f>
        <v>772.64750726556031</v>
      </c>
      <c r="I331" s="35">
        <f>IF(A331="","",MAX(0,C331-H331))</f>
        <v>27451.576570070669</v>
      </c>
      <c r="J331" s="35">
        <f>IF(A331="","",D331+H331)</f>
        <v>843.20806745890081</v>
      </c>
    </row>
    <row r="332" spans="1:10" ht="15" customHeight="1">
      <c r="A332" s="32">
        <f>IF(327&lt;=Datos!$B$13,327,"")</f>
        <v>327</v>
      </c>
      <c r="B332" s="44">
        <f>IF(A332="","",EDATE(Datos!$B$19,A332-1))</f>
        <v>56189</v>
      </c>
      <c r="C332" s="35">
        <f>IF(A332="","",I331)</f>
        <v>27451.576570070669</v>
      </c>
      <c r="D332" s="35">
        <f>IF(A332="","",C332*Datos!$B$17/Datos!$B$12)</f>
        <v>68.628941425176677</v>
      </c>
      <c r="E332" s="35">
        <f>IF(A332="","",MIN(Datos!$B$20,C332+D332))</f>
        <v>843.20806745890093</v>
      </c>
      <c r="F332" s="35">
        <f>IF(A332="","",MAX(0,E332-D332))</f>
        <v>774.57912603372426</v>
      </c>
      <c r="G332" s="36">
        <v>0</v>
      </c>
      <c r="H332" s="35">
        <f>IF(A332="","",MIN(C332,F332+G332))</f>
        <v>774.57912603372426</v>
      </c>
      <c r="I332" s="35">
        <f>IF(A332="","",MAX(0,C332-H332))</f>
        <v>26676.997444036944</v>
      </c>
      <c r="J332" s="35">
        <f>IF(A332="","",D332+H332)</f>
        <v>843.20806745890093</v>
      </c>
    </row>
    <row r="333" spans="1:10" ht="15" customHeight="1">
      <c r="A333" s="32">
        <f>IF(328&lt;=Datos!$B$13,328,"")</f>
        <v>328</v>
      </c>
      <c r="B333" s="44">
        <f>IF(A333="","",EDATE(Datos!$B$19,A333-1))</f>
        <v>56219</v>
      </c>
      <c r="C333" s="35">
        <f>IF(A333="","",I332)</f>
        <v>26676.997444036944</v>
      </c>
      <c r="D333" s="35">
        <f>IF(A333="","",C333*Datos!$B$17/Datos!$B$12)</f>
        <v>66.692493610092356</v>
      </c>
      <c r="E333" s="35">
        <f>IF(A333="","",MIN(Datos!$B$20,C333+D333))</f>
        <v>843.20806745890093</v>
      </c>
      <c r="F333" s="35">
        <f>IF(A333="","",MAX(0,E333-D333))</f>
        <v>776.51557384880857</v>
      </c>
      <c r="G333" s="36">
        <v>0</v>
      </c>
      <c r="H333" s="35">
        <f>IF(A333="","",MIN(C333,F333+G333))</f>
        <v>776.51557384880857</v>
      </c>
      <c r="I333" s="35">
        <f>IF(A333="","",MAX(0,C333-H333))</f>
        <v>25900.481870188134</v>
      </c>
      <c r="J333" s="35">
        <f>IF(A333="","",D333+H333)</f>
        <v>843.20806745890093</v>
      </c>
    </row>
    <row r="334" spans="1:10" ht="15" customHeight="1">
      <c r="A334" s="32">
        <f>IF(329&lt;=Datos!$B$13,329,"")</f>
        <v>329</v>
      </c>
      <c r="B334" s="44">
        <f>IF(A334="","",EDATE(Datos!$B$19,A334-1))</f>
        <v>56250</v>
      </c>
      <c r="C334" s="35">
        <f>IF(A334="","",I333)</f>
        <v>25900.481870188134</v>
      </c>
      <c r="D334" s="35">
        <f>IF(A334="","",C334*Datos!$B$17/Datos!$B$12)</f>
        <v>64.751204675470333</v>
      </c>
      <c r="E334" s="35">
        <f>IF(A334="","",MIN(Datos!$B$20,C334+D334))</f>
        <v>843.20806745890093</v>
      </c>
      <c r="F334" s="35">
        <f>IF(A334="","",MAX(0,E334-D334))</f>
        <v>778.45686278343055</v>
      </c>
      <c r="G334" s="36">
        <v>0</v>
      </c>
      <c r="H334" s="35">
        <f>IF(A334="","",MIN(C334,F334+G334))</f>
        <v>778.45686278343055</v>
      </c>
      <c r="I334" s="35">
        <f>IF(A334="","",MAX(0,C334-H334))</f>
        <v>25122.025007404704</v>
      </c>
      <c r="J334" s="35">
        <f>IF(A334="","",D334+H334)</f>
        <v>843.20806745890093</v>
      </c>
    </row>
    <row r="335" spans="1:10" ht="15" customHeight="1">
      <c r="A335" s="32">
        <f>IF(330&lt;=Datos!$B$13,330,"")</f>
        <v>330</v>
      </c>
      <c r="B335" s="44">
        <f>IF(A335="","",EDATE(Datos!$B$19,A335-1))</f>
        <v>56281</v>
      </c>
      <c r="C335" s="35">
        <f>IF(A335="","",I334)</f>
        <v>25122.025007404704</v>
      </c>
      <c r="D335" s="35">
        <f>IF(A335="","",C335*Datos!$B$17/Datos!$B$12)</f>
        <v>62.805062518511761</v>
      </c>
      <c r="E335" s="35">
        <f>IF(A335="","",MIN(Datos!$B$20,C335+D335))</f>
        <v>843.20806745890093</v>
      </c>
      <c r="F335" s="35">
        <f>IF(A335="","",MAX(0,E335-D335))</f>
        <v>780.40300494038911</v>
      </c>
      <c r="G335" s="36">
        <v>0</v>
      </c>
      <c r="H335" s="35">
        <f>IF(A335="","",MIN(C335,F335+G335))</f>
        <v>780.40300494038911</v>
      </c>
      <c r="I335" s="35">
        <f>IF(A335="","",MAX(0,C335-H335))</f>
        <v>24341.622002464315</v>
      </c>
      <c r="J335" s="35">
        <f>IF(A335="","",D335+H335)</f>
        <v>843.20806745890081</v>
      </c>
    </row>
    <row r="336" spans="1:10" ht="15" customHeight="1">
      <c r="A336" s="32">
        <f>IF(331&lt;=Datos!$B$13,331,"")</f>
        <v>331</v>
      </c>
      <c r="B336" s="44">
        <f>IF(A336="","",EDATE(Datos!$B$19,A336-1))</f>
        <v>56309</v>
      </c>
      <c r="C336" s="35">
        <f>IF(A336="","",I335)</f>
        <v>24341.622002464315</v>
      </c>
      <c r="D336" s="35">
        <f>IF(A336="","",C336*Datos!$B$17/Datos!$B$12)</f>
        <v>60.854055006160785</v>
      </c>
      <c r="E336" s="35">
        <f>IF(A336="","",MIN(Datos!$B$20,C336+D336))</f>
        <v>843.20806745890093</v>
      </c>
      <c r="F336" s="35">
        <f>IF(A336="","",MAX(0,E336-D336))</f>
        <v>782.35401245274011</v>
      </c>
      <c r="G336" s="36">
        <v>0</v>
      </c>
      <c r="H336" s="35">
        <f>IF(A336="","",MIN(C336,F336+G336))</f>
        <v>782.35401245274011</v>
      </c>
      <c r="I336" s="35">
        <f>IF(A336="","",MAX(0,C336-H336))</f>
        <v>23559.267990011576</v>
      </c>
      <c r="J336" s="35">
        <f>IF(A336="","",D336+H336)</f>
        <v>843.20806745890093</v>
      </c>
    </row>
    <row r="337" spans="1:10" ht="15" customHeight="1">
      <c r="A337" s="32">
        <f>IF(332&lt;=Datos!$B$13,332,"")</f>
        <v>332</v>
      </c>
      <c r="B337" s="44">
        <f>IF(A337="","",EDATE(Datos!$B$19,A337-1))</f>
        <v>56340</v>
      </c>
      <c r="C337" s="35">
        <f>IF(A337="","",I336)</f>
        <v>23559.267990011576</v>
      </c>
      <c r="D337" s="35">
        <f>IF(A337="","",C337*Datos!$B$17/Datos!$B$12)</f>
        <v>58.898169975028935</v>
      </c>
      <c r="E337" s="35">
        <f>IF(A337="","",MIN(Datos!$B$20,C337+D337))</f>
        <v>843.20806745890093</v>
      </c>
      <c r="F337" s="35">
        <f>IF(A337="","",MAX(0,E337-D337))</f>
        <v>784.30989748387196</v>
      </c>
      <c r="G337" s="36">
        <v>0</v>
      </c>
      <c r="H337" s="35">
        <f>IF(A337="","",MIN(C337,F337+G337))</f>
        <v>784.30989748387196</v>
      </c>
      <c r="I337" s="35">
        <f>IF(A337="","",MAX(0,C337-H337))</f>
        <v>22774.958092527704</v>
      </c>
      <c r="J337" s="35">
        <f>IF(A337="","",D337+H337)</f>
        <v>843.20806745890093</v>
      </c>
    </row>
    <row r="338" spans="1:10" ht="15" customHeight="1">
      <c r="A338" s="32">
        <f>IF(333&lt;=Datos!$B$13,333,"")</f>
        <v>333</v>
      </c>
      <c r="B338" s="44">
        <f>IF(A338="","",EDATE(Datos!$B$19,A338-1))</f>
        <v>56370</v>
      </c>
      <c r="C338" s="35">
        <f>IF(A338="","",I337)</f>
        <v>22774.958092527704</v>
      </c>
      <c r="D338" s="35">
        <f>IF(A338="","",C338*Datos!$B$17/Datos!$B$12)</f>
        <v>56.937395231319265</v>
      </c>
      <c r="E338" s="35">
        <f>IF(A338="","",MIN(Datos!$B$20,C338+D338))</f>
        <v>843.20806745890093</v>
      </c>
      <c r="F338" s="35">
        <f>IF(A338="","",MAX(0,E338-D338))</f>
        <v>786.27067222758171</v>
      </c>
      <c r="G338" s="36">
        <v>0</v>
      </c>
      <c r="H338" s="35">
        <f>IF(A338="","",MIN(C338,F338+G338))</f>
        <v>786.27067222758171</v>
      </c>
      <c r="I338" s="35">
        <f>IF(A338="","",MAX(0,C338-H338))</f>
        <v>21988.687420300121</v>
      </c>
      <c r="J338" s="35">
        <f>IF(A338="","",D338+H338)</f>
        <v>843.20806745890093</v>
      </c>
    </row>
    <row r="339" spans="1:10" ht="15" customHeight="1">
      <c r="A339" s="32">
        <f>IF(334&lt;=Datos!$B$13,334,"")</f>
        <v>334</v>
      </c>
      <c r="B339" s="44">
        <f>IF(A339="","",EDATE(Datos!$B$19,A339-1))</f>
        <v>56401</v>
      </c>
      <c r="C339" s="35">
        <f>IF(A339="","",I338)</f>
        <v>21988.687420300121</v>
      </c>
      <c r="D339" s="35">
        <f>IF(A339="","",C339*Datos!$B$17/Datos!$B$12)</f>
        <v>54.971718550750296</v>
      </c>
      <c r="E339" s="35">
        <f>IF(A339="","",MIN(Datos!$B$20,C339+D339))</f>
        <v>843.20806745890093</v>
      </c>
      <c r="F339" s="35">
        <f>IF(A339="","",MAX(0,E339-D339))</f>
        <v>788.2363489081506</v>
      </c>
      <c r="G339" s="36">
        <v>0</v>
      </c>
      <c r="H339" s="35">
        <f>IF(A339="","",MIN(C339,F339+G339))</f>
        <v>788.2363489081506</v>
      </c>
      <c r="I339" s="35">
        <f>IF(A339="","",MAX(0,C339-H339))</f>
        <v>21200.45107139197</v>
      </c>
      <c r="J339" s="35">
        <f>IF(A339="","",D339+H339)</f>
        <v>843.20806745890093</v>
      </c>
    </row>
    <row r="340" spans="1:10" ht="15" customHeight="1">
      <c r="A340" s="32">
        <f>IF(335&lt;=Datos!$B$13,335,"")</f>
        <v>335</v>
      </c>
      <c r="B340" s="44">
        <f>IF(A340="","",EDATE(Datos!$B$19,A340-1))</f>
        <v>56431</v>
      </c>
      <c r="C340" s="35">
        <f>IF(A340="","",I339)</f>
        <v>21200.45107139197</v>
      </c>
      <c r="D340" s="35">
        <f>IF(A340="","",C340*Datos!$B$17/Datos!$B$12)</f>
        <v>53.001127678479925</v>
      </c>
      <c r="E340" s="35">
        <f>IF(A340="","",MIN(Datos!$B$20,C340+D340))</f>
        <v>843.20806745890093</v>
      </c>
      <c r="F340" s="35">
        <f>IF(A340="","",MAX(0,E340-D340))</f>
        <v>790.20693978042095</v>
      </c>
      <c r="G340" s="36">
        <v>0</v>
      </c>
      <c r="H340" s="35">
        <f>IF(A340="","",MIN(C340,F340+G340))</f>
        <v>790.20693978042095</v>
      </c>
      <c r="I340" s="35">
        <f>IF(A340="","",MAX(0,C340-H340))</f>
        <v>20410.244131611547</v>
      </c>
      <c r="J340" s="35">
        <f>IF(A340="","",D340+H340)</f>
        <v>843.20806745890093</v>
      </c>
    </row>
    <row r="341" spans="1:10" ht="15" customHeight="1">
      <c r="A341" s="32">
        <f>IF(336&lt;=Datos!$B$13,336,"")</f>
        <v>336</v>
      </c>
      <c r="B341" s="44">
        <f>IF(A341="","",EDATE(Datos!$B$19,A341-1))</f>
        <v>56462</v>
      </c>
      <c r="C341" s="35">
        <f>IF(A341="","",I340)</f>
        <v>20410.244131611547</v>
      </c>
      <c r="D341" s="35">
        <f>IF(A341="","",C341*Datos!$B$17/Datos!$B$12)</f>
        <v>51.025610329028865</v>
      </c>
      <c r="E341" s="35">
        <f>IF(A341="","",MIN(Datos!$B$20,C341+D341))</f>
        <v>843.20806745890093</v>
      </c>
      <c r="F341" s="35">
        <f>IF(A341="","",MAX(0,E341-D341))</f>
        <v>792.18245712987209</v>
      </c>
      <c r="G341" s="36">
        <v>0</v>
      </c>
      <c r="H341" s="35">
        <f>IF(A341="","",MIN(C341,F341+G341))</f>
        <v>792.18245712987209</v>
      </c>
      <c r="I341" s="35">
        <f>IF(A341="","",MAX(0,C341-H341))</f>
        <v>19618.061674481676</v>
      </c>
      <c r="J341" s="35">
        <f>IF(A341="","",D341+H341)</f>
        <v>843.20806745890093</v>
      </c>
    </row>
    <row r="342" spans="1:10" ht="15" customHeight="1">
      <c r="A342" s="32">
        <f>IF(337&lt;=Datos!$B$13,337,"")</f>
        <v>337</v>
      </c>
      <c r="B342" s="44">
        <f>IF(A342="","",EDATE(Datos!$B$19,A342-1))</f>
        <v>56493</v>
      </c>
      <c r="C342" s="35">
        <f>IF(A342="","",I341)</f>
        <v>19618.061674481676</v>
      </c>
      <c r="D342" s="35">
        <f>IF(A342="","",C342*Datos!$B$17/Datos!$B$12)</f>
        <v>49.045154186204194</v>
      </c>
      <c r="E342" s="35">
        <f>IF(A342="","",MIN(Datos!$B$20,C342+D342))</f>
        <v>843.20806745890093</v>
      </c>
      <c r="F342" s="35">
        <f>IF(A342="","",MAX(0,E342-D342))</f>
        <v>794.16291327269676</v>
      </c>
      <c r="G342" s="36">
        <v>0</v>
      </c>
      <c r="H342" s="35">
        <f>IF(A342="","",MIN(C342,F342+G342))</f>
        <v>794.16291327269676</v>
      </c>
      <c r="I342" s="35">
        <f>IF(A342="","",MAX(0,C342-H342))</f>
        <v>18823.89876120898</v>
      </c>
      <c r="J342" s="35">
        <f>IF(A342="","",D342+H342)</f>
        <v>843.20806745890093</v>
      </c>
    </row>
    <row r="343" spans="1:10" ht="15" customHeight="1">
      <c r="A343" s="32">
        <f>IF(338&lt;=Datos!$B$13,338,"")</f>
        <v>338</v>
      </c>
      <c r="B343" s="44">
        <f>IF(A343="","",EDATE(Datos!$B$19,A343-1))</f>
        <v>56523</v>
      </c>
      <c r="C343" s="35">
        <f>IF(A343="","",I342)</f>
        <v>18823.89876120898</v>
      </c>
      <c r="D343" s="35">
        <f>IF(A343="","",C343*Datos!$B$17/Datos!$B$12)</f>
        <v>47.05974690302245</v>
      </c>
      <c r="E343" s="35">
        <f>IF(A343="","",MIN(Datos!$B$20,C343+D343))</f>
        <v>843.20806745890093</v>
      </c>
      <c r="F343" s="35">
        <f>IF(A343="","",MAX(0,E343-D343))</f>
        <v>796.14832055587851</v>
      </c>
      <c r="G343" s="36">
        <v>0</v>
      </c>
      <c r="H343" s="35">
        <f>IF(A343="","",MIN(C343,F343+G343))</f>
        <v>796.14832055587851</v>
      </c>
      <c r="I343" s="35">
        <f>IF(A343="","",MAX(0,C343-H343))</f>
        <v>18027.750440653101</v>
      </c>
      <c r="J343" s="35">
        <f>IF(A343="","",D343+H343)</f>
        <v>843.20806745890093</v>
      </c>
    </row>
    <row r="344" spans="1:10" ht="15" customHeight="1">
      <c r="A344" s="32">
        <f>IF(339&lt;=Datos!$B$13,339,"")</f>
        <v>339</v>
      </c>
      <c r="B344" s="44">
        <f>IF(A344="","",EDATE(Datos!$B$19,A344-1))</f>
        <v>56554</v>
      </c>
      <c r="C344" s="35">
        <f>IF(A344="","",I343)</f>
        <v>18027.750440653101</v>
      </c>
      <c r="D344" s="35">
        <f>IF(A344="","",C344*Datos!$B$17/Datos!$B$12)</f>
        <v>45.069376101632749</v>
      </c>
      <c r="E344" s="35">
        <f>IF(A344="","",MIN(Datos!$B$20,C344+D344))</f>
        <v>843.20806745890093</v>
      </c>
      <c r="F344" s="35">
        <f>IF(A344="","",MAX(0,E344-D344))</f>
        <v>798.13869135726816</v>
      </c>
      <c r="G344" s="36">
        <v>0</v>
      </c>
      <c r="H344" s="35">
        <f>IF(A344="","",MIN(C344,F344+G344))</f>
        <v>798.13869135726816</v>
      </c>
      <c r="I344" s="35">
        <f>IF(A344="","",MAX(0,C344-H344))</f>
        <v>17229.611749295833</v>
      </c>
      <c r="J344" s="35">
        <f>IF(A344="","",D344+H344)</f>
        <v>843.20806745890093</v>
      </c>
    </row>
    <row r="345" spans="1:10" ht="15" customHeight="1">
      <c r="A345" s="32">
        <f>IF(340&lt;=Datos!$B$13,340,"")</f>
        <v>340</v>
      </c>
      <c r="B345" s="44">
        <f>IF(A345="","",EDATE(Datos!$B$19,A345-1))</f>
        <v>56584</v>
      </c>
      <c r="C345" s="35">
        <f>IF(A345="","",I344)</f>
        <v>17229.611749295833</v>
      </c>
      <c r="D345" s="35">
        <f>IF(A345="","",C345*Datos!$B$17/Datos!$B$12)</f>
        <v>43.074029373239576</v>
      </c>
      <c r="E345" s="35">
        <f>IF(A345="","",MIN(Datos!$B$20,C345+D345))</f>
        <v>843.20806745890093</v>
      </c>
      <c r="F345" s="35">
        <f>IF(A345="","",MAX(0,E345-D345))</f>
        <v>800.13403808566136</v>
      </c>
      <c r="G345" s="36">
        <v>0</v>
      </c>
      <c r="H345" s="35">
        <f>IF(A345="","",MIN(C345,F345+G345))</f>
        <v>800.13403808566136</v>
      </c>
      <c r="I345" s="35">
        <f>IF(A345="","",MAX(0,C345-H345))</f>
        <v>16429.477711210173</v>
      </c>
      <c r="J345" s="35">
        <f>IF(A345="","",D345+H345)</f>
        <v>843.20806745890093</v>
      </c>
    </row>
    <row r="346" spans="1:10" ht="15" customHeight="1">
      <c r="A346" s="32">
        <f>IF(341&lt;=Datos!$B$13,341,"")</f>
        <v>341</v>
      </c>
      <c r="B346" s="44">
        <f>IF(A346="","",EDATE(Datos!$B$19,A346-1))</f>
        <v>56615</v>
      </c>
      <c r="C346" s="35">
        <f>IF(A346="","",I345)</f>
        <v>16429.477711210173</v>
      </c>
      <c r="D346" s="35">
        <f>IF(A346="","",C346*Datos!$B$17/Datos!$B$12)</f>
        <v>41.073694278025435</v>
      </c>
      <c r="E346" s="35">
        <f>IF(A346="","",MIN(Datos!$B$20,C346+D346))</f>
        <v>843.20806745890093</v>
      </c>
      <c r="F346" s="35">
        <f>IF(A346="","",MAX(0,E346-D346))</f>
        <v>802.13437318087551</v>
      </c>
      <c r="G346" s="36">
        <v>0</v>
      </c>
      <c r="H346" s="35">
        <f>IF(A346="","",MIN(C346,F346+G346))</f>
        <v>802.13437318087551</v>
      </c>
      <c r="I346" s="35">
        <f>IF(A346="","",MAX(0,C346-H346))</f>
        <v>15627.343338029297</v>
      </c>
      <c r="J346" s="35">
        <f>IF(A346="","",D346+H346)</f>
        <v>843.20806745890093</v>
      </c>
    </row>
    <row r="347" spans="1:10" ht="15" customHeight="1">
      <c r="A347" s="32">
        <f>IF(342&lt;=Datos!$B$13,342,"")</f>
        <v>342</v>
      </c>
      <c r="B347" s="44">
        <f>IF(A347="","",EDATE(Datos!$B$19,A347-1))</f>
        <v>56646</v>
      </c>
      <c r="C347" s="35">
        <f>IF(A347="","",I346)</f>
        <v>15627.343338029297</v>
      </c>
      <c r="D347" s="35">
        <f>IF(A347="","",C347*Datos!$B$17/Datos!$B$12)</f>
        <v>39.068358345073243</v>
      </c>
      <c r="E347" s="35">
        <f>IF(A347="","",MIN(Datos!$B$20,C347+D347))</f>
        <v>843.20806745890093</v>
      </c>
      <c r="F347" s="35">
        <f>IF(A347="","",MAX(0,E347-D347))</f>
        <v>804.13970911382773</v>
      </c>
      <c r="G347" s="36">
        <v>0</v>
      </c>
      <c r="H347" s="35">
        <f>IF(A347="","",MIN(C347,F347+G347))</f>
        <v>804.13970911382773</v>
      </c>
      <c r="I347" s="35">
        <f>IF(A347="","",MAX(0,C347-H347))</f>
        <v>14823.203628915469</v>
      </c>
      <c r="J347" s="35">
        <f>IF(A347="","",D347+H347)</f>
        <v>843.20806745890093</v>
      </c>
    </row>
    <row r="348" spans="1:10" ht="15" customHeight="1">
      <c r="A348" s="32">
        <f>IF(343&lt;=Datos!$B$13,343,"")</f>
        <v>343</v>
      </c>
      <c r="B348" s="44">
        <f>IF(A348="","",EDATE(Datos!$B$19,A348-1))</f>
        <v>56674</v>
      </c>
      <c r="C348" s="35">
        <f>IF(A348="","",I347)</f>
        <v>14823.203628915469</v>
      </c>
      <c r="D348" s="35">
        <f>IF(A348="","",C348*Datos!$B$17/Datos!$B$12)</f>
        <v>37.058009072288677</v>
      </c>
      <c r="E348" s="35">
        <f>IF(A348="","",MIN(Datos!$B$20,C348+D348))</f>
        <v>843.20806745890093</v>
      </c>
      <c r="F348" s="35">
        <f>IF(A348="","",MAX(0,E348-D348))</f>
        <v>806.15005838661227</v>
      </c>
      <c r="G348" s="36">
        <v>0</v>
      </c>
      <c r="H348" s="35">
        <f>IF(A348="","",MIN(C348,F348+G348))</f>
        <v>806.15005838661227</v>
      </c>
      <c r="I348" s="35">
        <f>IF(A348="","",MAX(0,C348-H348))</f>
        <v>14017.053570528857</v>
      </c>
      <c r="J348" s="35">
        <f>IF(A348="","",D348+H348)</f>
        <v>843.20806745890093</v>
      </c>
    </row>
    <row r="349" spans="1:10" ht="15" customHeight="1">
      <c r="A349" s="32">
        <f>IF(344&lt;=Datos!$B$13,344,"")</f>
        <v>344</v>
      </c>
      <c r="B349" s="44">
        <f>IF(A349="","",EDATE(Datos!$B$19,A349-1))</f>
        <v>56705</v>
      </c>
      <c r="C349" s="35">
        <f>IF(A349="","",I348)</f>
        <v>14017.053570528857</v>
      </c>
      <c r="D349" s="35">
        <f>IF(A349="","",C349*Datos!$B$17/Datos!$B$12)</f>
        <v>35.042633926322139</v>
      </c>
      <c r="E349" s="35">
        <f>IF(A349="","",MIN(Datos!$B$20,C349+D349))</f>
        <v>843.20806745890093</v>
      </c>
      <c r="F349" s="35">
        <f>IF(A349="","",MAX(0,E349-D349))</f>
        <v>808.16543353257885</v>
      </c>
      <c r="G349" s="36">
        <v>0</v>
      </c>
      <c r="H349" s="35">
        <f>IF(A349="","",MIN(C349,F349+G349))</f>
        <v>808.16543353257885</v>
      </c>
      <c r="I349" s="35">
        <f>IF(A349="","",MAX(0,C349-H349))</f>
        <v>13208.888136996278</v>
      </c>
      <c r="J349" s="35">
        <f>IF(A349="","",D349+H349)</f>
        <v>843.20806745890104</v>
      </c>
    </row>
    <row r="350" spans="1:10" ht="15" customHeight="1">
      <c r="A350" s="32">
        <f>IF(345&lt;=Datos!$B$13,345,"")</f>
        <v>345</v>
      </c>
      <c r="B350" s="44">
        <f>IF(A350="","",EDATE(Datos!$B$19,A350-1))</f>
        <v>56735</v>
      </c>
      <c r="C350" s="35">
        <f>IF(A350="","",I349)</f>
        <v>13208.888136996278</v>
      </c>
      <c r="D350" s="35">
        <f>IF(A350="","",C350*Datos!$B$17/Datos!$B$12)</f>
        <v>33.022220342490691</v>
      </c>
      <c r="E350" s="35">
        <f>IF(A350="","",MIN(Datos!$B$20,C350+D350))</f>
        <v>843.20806745890093</v>
      </c>
      <c r="F350" s="35">
        <f>IF(A350="","",MAX(0,E350-D350))</f>
        <v>810.18584711641029</v>
      </c>
      <c r="G350" s="36">
        <v>0</v>
      </c>
      <c r="H350" s="35">
        <f>IF(A350="","",MIN(C350,F350+G350))</f>
        <v>810.18584711641029</v>
      </c>
      <c r="I350" s="35">
        <f>IF(A350="","",MAX(0,C350-H350))</f>
        <v>12398.702289879868</v>
      </c>
      <c r="J350" s="35">
        <f>IF(A350="","",D350+H350)</f>
        <v>843.20806745890093</v>
      </c>
    </row>
    <row r="351" spans="1:10" ht="15" customHeight="1">
      <c r="A351" s="32">
        <f>IF(346&lt;=Datos!$B$13,346,"")</f>
        <v>346</v>
      </c>
      <c r="B351" s="44">
        <f>IF(A351="","",EDATE(Datos!$B$19,A351-1))</f>
        <v>56766</v>
      </c>
      <c r="C351" s="35">
        <f>IF(A351="","",I350)</f>
        <v>12398.702289879868</v>
      </c>
      <c r="D351" s="35">
        <f>IF(A351="","",C351*Datos!$B$17/Datos!$B$12)</f>
        <v>30.996755724699668</v>
      </c>
      <c r="E351" s="35">
        <f>IF(A351="","",MIN(Datos!$B$20,C351+D351))</f>
        <v>843.20806745890093</v>
      </c>
      <c r="F351" s="35">
        <f>IF(A351="","",MAX(0,E351-D351))</f>
        <v>812.21131173420122</v>
      </c>
      <c r="G351" s="36">
        <v>0</v>
      </c>
      <c r="H351" s="35">
        <f>IF(A351="","",MIN(C351,F351+G351))</f>
        <v>812.21131173420122</v>
      </c>
      <c r="I351" s="35">
        <f>IF(A351="","",MAX(0,C351-H351))</f>
        <v>11586.490978145666</v>
      </c>
      <c r="J351" s="35">
        <f>IF(A351="","",D351+H351)</f>
        <v>843.20806745890093</v>
      </c>
    </row>
    <row r="352" spans="1:10" ht="15" customHeight="1">
      <c r="A352" s="32">
        <f>IF(347&lt;=Datos!$B$13,347,"")</f>
        <v>347</v>
      </c>
      <c r="B352" s="44">
        <f>IF(A352="","",EDATE(Datos!$B$19,A352-1))</f>
        <v>56796</v>
      </c>
      <c r="C352" s="35">
        <f>IF(A352="","",I351)</f>
        <v>11586.490978145666</v>
      </c>
      <c r="D352" s="35">
        <f>IF(A352="","",C352*Datos!$B$17/Datos!$B$12)</f>
        <v>28.966227445364165</v>
      </c>
      <c r="E352" s="35">
        <f>IF(A352="","",MIN(Datos!$B$20,C352+D352))</f>
        <v>843.20806745890093</v>
      </c>
      <c r="F352" s="35">
        <f>IF(A352="","",MAX(0,E352-D352))</f>
        <v>814.24184001353672</v>
      </c>
      <c r="G352" s="36">
        <v>0</v>
      </c>
      <c r="H352" s="35">
        <f>IF(A352="","",MIN(C352,F352+G352))</f>
        <v>814.24184001353672</v>
      </c>
      <c r="I352" s="35">
        <f>IF(A352="","",MAX(0,C352-H352))</f>
        <v>10772.249138132129</v>
      </c>
      <c r="J352" s="35">
        <f>IF(A352="","",D352+H352)</f>
        <v>843.20806745890093</v>
      </c>
    </row>
    <row r="353" spans="1:10" ht="15" customHeight="1">
      <c r="A353" s="32">
        <f>IF(348&lt;=Datos!$B$13,348,"")</f>
        <v>348</v>
      </c>
      <c r="B353" s="44">
        <f>IF(A353="","",EDATE(Datos!$B$19,A353-1))</f>
        <v>56827</v>
      </c>
      <c r="C353" s="35">
        <f>IF(A353="","",I352)</f>
        <v>10772.249138132129</v>
      </c>
      <c r="D353" s="35">
        <f>IF(A353="","",C353*Datos!$B$17/Datos!$B$12)</f>
        <v>26.930622845330319</v>
      </c>
      <c r="E353" s="35">
        <f>IF(A353="","",MIN(Datos!$B$20,C353+D353))</f>
        <v>843.20806745890093</v>
      </c>
      <c r="F353" s="35">
        <f>IF(A353="","",MAX(0,E353-D353))</f>
        <v>816.27744461357065</v>
      </c>
      <c r="G353" s="36">
        <v>0</v>
      </c>
      <c r="H353" s="35">
        <f>IF(A353="","",MIN(C353,F353+G353))</f>
        <v>816.27744461357065</v>
      </c>
      <c r="I353" s="35">
        <f>IF(A353="","",MAX(0,C353-H353))</f>
        <v>9955.9716935185588</v>
      </c>
      <c r="J353" s="35">
        <f>IF(A353="","",D353+H353)</f>
        <v>843.20806745890093</v>
      </c>
    </row>
    <row r="354" spans="1:10" ht="15" customHeight="1">
      <c r="A354" s="32">
        <f>IF(349&lt;=Datos!$B$13,349,"")</f>
        <v>349</v>
      </c>
      <c r="B354" s="44">
        <f>IF(A354="","",EDATE(Datos!$B$19,A354-1))</f>
        <v>56858</v>
      </c>
      <c r="C354" s="35">
        <f>IF(A354="","",I353)</f>
        <v>9955.9716935185588</v>
      </c>
      <c r="D354" s="35">
        <f>IF(A354="","",C354*Datos!$B$17/Datos!$B$12)</f>
        <v>24.889929233796394</v>
      </c>
      <c r="E354" s="35">
        <f>IF(A354="","",MIN(Datos!$B$20,C354+D354))</f>
        <v>843.20806745890093</v>
      </c>
      <c r="F354" s="35">
        <f>IF(A354="","",MAX(0,E354-D354))</f>
        <v>818.31813822510458</v>
      </c>
      <c r="G354" s="36">
        <v>0</v>
      </c>
      <c r="H354" s="35">
        <f>IF(A354="","",MIN(C354,F354+G354))</f>
        <v>818.31813822510458</v>
      </c>
      <c r="I354" s="35">
        <f>IF(A354="","",MAX(0,C354-H354))</f>
        <v>9137.6535552934547</v>
      </c>
      <c r="J354" s="35">
        <f>IF(A354="","",D354+H354)</f>
        <v>843.20806745890093</v>
      </c>
    </row>
    <row r="355" spans="1:10" ht="15" customHeight="1">
      <c r="A355" s="32">
        <f>IF(350&lt;=Datos!$B$13,350,"")</f>
        <v>350</v>
      </c>
      <c r="B355" s="44">
        <f>IF(A355="","",EDATE(Datos!$B$19,A355-1))</f>
        <v>56888</v>
      </c>
      <c r="C355" s="35">
        <f>IF(A355="","",I354)</f>
        <v>9137.6535552934547</v>
      </c>
      <c r="D355" s="35">
        <f>IF(A355="","",C355*Datos!$B$17/Datos!$B$12)</f>
        <v>22.844133888233639</v>
      </c>
      <c r="E355" s="35">
        <f>IF(A355="","",MIN(Datos!$B$20,C355+D355))</f>
        <v>843.20806745890093</v>
      </c>
      <c r="F355" s="35">
        <f>IF(A355="","",MAX(0,E355-D355))</f>
        <v>820.36393357066731</v>
      </c>
      <c r="G355" s="36">
        <v>0</v>
      </c>
      <c r="H355" s="35">
        <f>IF(A355="","",MIN(C355,F355+G355))</f>
        <v>820.36393357066731</v>
      </c>
      <c r="I355" s="35">
        <f>IF(A355="","",MAX(0,C355-H355))</f>
        <v>8317.2896217227881</v>
      </c>
      <c r="J355" s="35">
        <f>IF(A355="","",D355+H355)</f>
        <v>843.20806745890093</v>
      </c>
    </row>
    <row r="356" spans="1:10" ht="15" customHeight="1">
      <c r="A356" s="32">
        <f>IF(351&lt;=Datos!$B$13,351,"")</f>
        <v>351</v>
      </c>
      <c r="B356" s="44">
        <f>IF(A356="","",EDATE(Datos!$B$19,A356-1))</f>
        <v>56919</v>
      </c>
      <c r="C356" s="35">
        <f>IF(A356="","",I355)</f>
        <v>8317.2896217227881</v>
      </c>
      <c r="D356" s="35">
        <f>IF(A356="","",C356*Datos!$B$17/Datos!$B$12)</f>
        <v>20.793224054306972</v>
      </c>
      <c r="E356" s="35">
        <f>IF(A356="","",MIN(Datos!$B$20,C356+D356))</f>
        <v>843.20806745890093</v>
      </c>
      <c r="F356" s="35">
        <f>IF(A356="","",MAX(0,E356-D356))</f>
        <v>822.41484340459397</v>
      </c>
      <c r="G356" s="36">
        <v>0</v>
      </c>
      <c r="H356" s="35">
        <f>IF(A356="","",MIN(C356,F356+G356))</f>
        <v>822.41484340459397</v>
      </c>
      <c r="I356" s="35">
        <f>IF(A356="","",MAX(0,C356-H356))</f>
        <v>7494.8747783181943</v>
      </c>
      <c r="J356" s="35">
        <f>IF(A356="","",D356+H356)</f>
        <v>843.20806745890093</v>
      </c>
    </row>
    <row r="357" spans="1:10" ht="15" customHeight="1">
      <c r="A357" s="32">
        <f>IF(352&lt;=Datos!$B$13,352,"")</f>
        <v>352</v>
      </c>
      <c r="B357" s="44">
        <f>IF(A357="","",EDATE(Datos!$B$19,A357-1))</f>
        <v>56949</v>
      </c>
      <c r="C357" s="35">
        <f>IF(A357="","",I356)</f>
        <v>7494.8747783181943</v>
      </c>
      <c r="D357" s="35">
        <f>IF(A357="","",C357*Datos!$B$17/Datos!$B$12)</f>
        <v>18.737186945795486</v>
      </c>
      <c r="E357" s="35">
        <f>IF(A357="","",MIN(Datos!$B$20,C357+D357))</f>
        <v>843.20806745890093</v>
      </c>
      <c r="F357" s="35">
        <f>IF(A357="","",MAX(0,E357-D357))</f>
        <v>824.47088051310539</v>
      </c>
      <c r="G357" s="36">
        <v>0</v>
      </c>
      <c r="H357" s="35">
        <f>IF(A357="","",MIN(C357,F357+G357))</f>
        <v>824.47088051310539</v>
      </c>
      <c r="I357" s="35">
        <f>IF(A357="","",MAX(0,C357-H357))</f>
        <v>6670.4038978050885</v>
      </c>
      <c r="J357" s="35">
        <f>IF(A357="","",D357+H357)</f>
        <v>843.20806745890081</v>
      </c>
    </row>
    <row r="358" spans="1:10" ht="15" customHeight="1">
      <c r="A358" s="32">
        <f>IF(353&lt;=Datos!$B$13,353,"")</f>
        <v>353</v>
      </c>
      <c r="B358" s="44">
        <f>IF(A358="","",EDATE(Datos!$B$19,A358-1))</f>
        <v>56980</v>
      </c>
      <c r="C358" s="35">
        <f>IF(A358="","",I357)</f>
        <v>6670.4038978050885</v>
      </c>
      <c r="D358" s="35">
        <f>IF(A358="","",C358*Datos!$B$17/Datos!$B$12)</f>
        <v>16.676009744512722</v>
      </c>
      <c r="E358" s="35">
        <f>IF(A358="","",MIN(Datos!$B$20,C358+D358))</f>
        <v>843.20806745890093</v>
      </c>
      <c r="F358" s="35">
        <f>IF(A358="","",MAX(0,E358-D358))</f>
        <v>826.5320577143882</v>
      </c>
      <c r="G358" s="36">
        <v>0</v>
      </c>
      <c r="H358" s="35">
        <f>IF(A358="","",MIN(C358,F358+G358))</f>
        <v>826.5320577143882</v>
      </c>
      <c r="I358" s="35">
        <f>IF(A358="","",MAX(0,C358-H358))</f>
        <v>5843.8718400907001</v>
      </c>
      <c r="J358" s="35">
        <f>IF(A358="","",D358+H358)</f>
        <v>843.20806745890093</v>
      </c>
    </row>
    <row r="359" spans="1:10" ht="15" customHeight="1">
      <c r="A359" s="32">
        <f>IF(354&lt;=Datos!$B$13,354,"")</f>
        <v>354</v>
      </c>
      <c r="B359" s="44">
        <f>IF(A359="","",EDATE(Datos!$B$19,A359-1))</f>
        <v>57011</v>
      </c>
      <c r="C359" s="35">
        <f>IF(A359="","",I358)</f>
        <v>5843.8718400907001</v>
      </c>
      <c r="D359" s="35">
        <f>IF(A359="","",C359*Datos!$B$17/Datos!$B$12)</f>
        <v>14.60967960022675</v>
      </c>
      <c r="E359" s="35">
        <f>IF(A359="","",MIN(Datos!$B$20,C359+D359))</f>
        <v>843.20806745890093</v>
      </c>
      <c r="F359" s="35">
        <f>IF(A359="","",MAX(0,E359-D359))</f>
        <v>828.59838785867419</v>
      </c>
      <c r="G359" s="36">
        <v>0</v>
      </c>
      <c r="H359" s="35">
        <f>IF(A359="","",MIN(C359,F359+G359))</f>
        <v>828.59838785867419</v>
      </c>
      <c r="I359" s="35">
        <f>IF(A359="","",MAX(0,C359-H359))</f>
        <v>5015.2734522320261</v>
      </c>
      <c r="J359" s="35">
        <f>IF(A359="","",D359+H359)</f>
        <v>843.20806745890093</v>
      </c>
    </row>
    <row r="360" spans="1:10" ht="15" customHeight="1">
      <c r="A360" s="32">
        <f>IF(355&lt;=Datos!$B$13,355,"")</f>
        <v>355</v>
      </c>
      <c r="B360" s="44">
        <f>IF(A360="","",EDATE(Datos!$B$19,A360-1))</f>
        <v>57040</v>
      </c>
      <c r="C360" s="35">
        <f>IF(A360="","",I359)</f>
        <v>5015.2734522320261</v>
      </c>
      <c r="D360" s="35">
        <f>IF(A360="","",C360*Datos!$B$17/Datos!$B$12)</f>
        <v>12.538183630580065</v>
      </c>
      <c r="E360" s="35">
        <f>IF(A360="","",MIN(Datos!$B$20,C360+D360))</f>
        <v>843.20806745890093</v>
      </c>
      <c r="F360" s="35">
        <f>IF(A360="","",MAX(0,E360-D360))</f>
        <v>830.66988382832085</v>
      </c>
      <c r="G360" s="36">
        <v>0</v>
      </c>
      <c r="H360" s="35">
        <f>IF(A360="","",MIN(C360,F360+G360))</f>
        <v>830.66988382832085</v>
      </c>
      <c r="I360" s="35">
        <f>IF(A360="","",MAX(0,C360-H360))</f>
        <v>4184.6035684037051</v>
      </c>
      <c r="J360" s="35">
        <f>IF(A360="","",D360+H360)</f>
        <v>843.20806745890093</v>
      </c>
    </row>
    <row r="361" spans="1:10" ht="15" customHeight="1">
      <c r="A361" s="32">
        <f>IF(356&lt;=Datos!$B$13,356,"")</f>
        <v>356</v>
      </c>
      <c r="B361" s="44">
        <f>IF(A361="","",EDATE(Datos!$B$19,A361-1))</f>
        <v>57071</v>
      </c>
      <c r="C361" s="35">
        <f>IF(A361="","",I360)</f>
        <v>4184.6035684037051</v>
      </c>
      <c r="D361" s="35">
        <f>IF(A361="","",C361*Datos!$B$17/Datos!$B$12)</f>
        <v>10.461508921009262</v>
      </c>
      <c r="E361" s="35">
        <f>IF(A361="","",MIN(Datos!$B$20,C361+D361))</f>
        <v>843.20806745890093</v>
      </c>
      <c r="F361" s="35">
        <f>IF(A361="","",MAX(0,E361-D361))</f>
        <v>832.7465585378917</v>
      </c>
      <c r="G361" s="36">
        <v>0</v>
      </c>
      <c r="H361" s="35">
        <f>IF(A361="","",MIN(C361,F361+G361))</f>
        <v>832.7465585378917</v>
      </c>
      <c r="I361" s="35">
        <f>IF(A361="","",MAX(0,C361-H361))</f>
        <v>3351.8570098658133</v>
      </c>
      <c r="J361" s="35">
        <f>IF(A361="","",D361+H361)</f>
        <v>843.20806745890093</v>
      </c>
    </row>
    <row r="362" spans="1:10" ht="15" customHeight="1">
      <c r="A362" s="32">
        <f>IF(357&lt;=Datos!$B$13,357,"")</f>
        <v>357</v>
      </c>
      <c r="B362" s="44">
        <f>IF(A362="","",EDATE(Datos!$B$19,A362-1))</f>
        <v>57101</v>
      </c>
      <c r="C362" s="35">
        <f>IF(A362="","",I361)</f>
        <v>3351.8570098658133</v>
      </c>
      <c r="D362" s="35">
        <f>IF(A362="","",C362*Datos!$B$17/Datos!$B$12)</f>
        <v>8.3796425246645327</v>
      </c>
      <c r="E362" s="35">
        <f>IF(A362="","",MIN(Datos!$B$20,C362+D362))</f>
        <v>843.20806745890093</v>
      </c>
      <c r="F362" s="35">
        <f>IF(A362="","",MAX(0,E362-D362))</f>
        <v>834.82842493423641</v>
      </c>
      <c r="G362" s="36">
        <v>0</v>
      </c>
      <c r="H362" s="35">
        <f>IF(A362="","",MIN(C362,F362+G362))</f>
        <v>834.82842493423641</v>
      </c>
      <c r="I362" s="35">
        <f>IF(A362="","",MAX(0,C362-H362))</f>
        <v>2517.0285849315769</v>
      </c>
      <c r="J362" s="35">
        <f>IF(A362="","",D362+H362)</f>
        <v>843.20806745890093</v>
      </c>
    </row>
    <row r="363" spans="1:10" ht="15" customHeight="1">
      <c r="A363" s="32">
        <f>IF(358&lt;=Datos!$B$13,358,"")</f>
        <v>358</v>
      </c>
      <c r="B363" s="44">
        <f>IF(A363="","",EDATE(Datos!$B$19,A363-1))</f>
        <v>57132</v>
      </c>
      <c r="C363" s="35">
        <f>IF(A363="","",I362)</f>
        <v>2517.0285849315769</v>
      </c>
      <c r="D363" s="35">
        <f>IF(A363="","",C363*Datos!$B$17/Datos!$B$12)</f>
        <v>6.2925714623289428</v>
      </c>
      <c r="E363" s="35">
        <f>IF(A363="","",MIN(Datos!$B$20,C363+D363))</f>
        <v>843.20806745890093</v>
      </c>
      <c r="F363" s="35">
        <f>IF(A363="","",MAX(0,E363-D363))</f>
        <v>836.91549599657196</v>
      </c>
      <c r="G363" s="36">
        <v>0</v>
      </c>
      <c r="H363" s="35">
        <f>IF(A363="","",MIN(C363,F363+G363))</f>
        <v>836.91549599657196</v>
      </c>
      <c r="I363" s="35">
        <f>IF(A363="","",MAX(0,C363-H363))</f>
        <v>1680.113088935005</v>
      </c>
      <c r="J363" s="35">
        <f>IF(A363="","",D363+H363)</f>
        <v>843.20806745890093</v>
      </c>
    </row>
    <row r="364" spans="1:10" ht="15" customHeight="1">
      <c r="A364" s="32">
        <f>IF(359&lt;=Datos!$B$13,359,"")</f>
        <v>359</v>
      </c>
      <c r="B364" s="44">
        <f>IF(A364="","",EDATE(Datos!$B$19,A364-1))</f>
        <v>57162</v>
      </c>
      <c r="C364" s="35">
        <f>IF(A364="","",I363)</f>
        <v>1680.113088935005</v>
      </c>
      <c r="D364" s="35">
        <f>IF(A364="","",C364*Datos!$B$17/Datos!$B$12)</f>
        <v>4.2002827223375121</v>
      </c>
      <c r="E364" s="35">
        <f>IF(A364="","",MIN(Datos!$B$20,C364+D364))</f>
        <v>843.20806745890093</v>
      </c>
      <c r="F364" s="35">
        <f>IF(A364="","",MAX(0,E364-D364))</f>
        <v>839.00778473656339</v>
      </c>
      <c r="G364" s="36">
        <v>0</v>
      </c>
      <c r="H364" s="35">
        <f>IF(A364="","",MIN(C364,F364+G364))</f>
        <v>839.00778473656339</v>
      </c>
      <c r="I364" s="35">
        <f>IF(A364="","",MAX(0,C364-H364))</f>
        <v>841.10530419844156</v>
      </c>
      <c r="J364" s="35">
        <f>IF(A364="","",D364+H364)</f>
        <v>843.20806745890093</v>
      </c>
    </row>
    <row r="365" spans="1:10" ht="15" customHeight="1">
      <c r="A365" s="32">
        <f>IF(360&lt;=Datos!$B$13,360,"")</f>
        <v>360</v>
      </c>
      <c r="B365" s="44">
        <f>IF(A365="","",EDATE(Datos!$B$19,A365-1))</f>
        <v>57193</v>
      </c>
      <c r="C365" s="35">
        <f>IF(A365="","",I364)</f>
        <v>841.10530419844156</v>
      </c>
      <c r="D365" s="35">
        <f>IF(A365="","",C365*Datos!$B$17/Datos!$B$12)</f>
        <v>2.1027632604961037</v>
      </c>
      <c r="E365" s="35">
        <f>IF(A365="","",MIN(Datos!$B$20,C365+D365))</f>
        <v>843.20806745890093</v>
      </c>
      <c r="F365" s="35">
        <f>IF(A365="","",MAX(0,E365-D365))</f>
        <v>841.10530419840484</v>
      </c>
      <c r="G365" s="36">
        <v>0</v>
      </c>
      <c r="H365" s="35">
        <f>IF(A365="","",MIN(C365,F365+G365))</f>
        <v>841.10530419840484</v>
      </c>
      <c r="I365" s="35">
        <f>IF(A365="","",MAX(0,C365-H365))</f>
        <v>3.6720848584081978E-11</v>
      </c>
      <c r="J365" s="35">
        <f>IF(A365="","",D365+H365)</f>
        <v>843.20806745890093</v>
      </c>
    </row>
    <row r="366" spans="1:10" ht="15" customHeight="1">
      <c r="A366" s="32" t="str">
        <f>IF(361&lt;=Datos!$B$13,361,"")</f>
        <v/>
      </c>
      <c r="B366" s="44" t="str">
        <f>IF(A366="","",EDATE(Datos!$B$19,A366-1))</f>
        <v/>
      </c>
      <c r="C366" s="35" t="str">
        <f>IF(A366="","",I365)</f>
        <v/>
      </c>
      <c r="D366" s="35" t="str">
        <f>IF(A366="","",C366*Datos!$B$17/Datos!$B$12)</f>
        <v/>
      </c>
      <c r="E366" s="35" t="str">
        <f>IF(A366="","",MIN(Datos!$B$20,C366+D366))</f>
        <v/>
      </c>
      <c r="F366" s="35" t="str">
        <f>IF(A366="","",MAX(0,E366-D366))</f>
        <v/>
      </c>
      <c r="G366" s="36">
        <v>0</v>
      </c>
      <c r="H366" s="35" t="str">
        <f>IF(A366="","",MIN(C366,F366+G366))</f>
        <v/>
      </c>
      <c r="I366" s="35" t="str">
        <f>IF(A366="","",MAX(0,C366-H366))</f>
        <v/>
      </c>
      <c r="J366" s="35" t="str">
        <f>IF(A366="","",D366+H366)</f>
        <v/>
      </c>
    </row>
    <row r="367" spans="1:10" ht="15" customHeight="1">
      <c r="A367" s="32" t="str">
        <f>IF(362&lt;=Datos!$B$13,362,"")</f>
        <v/>
      </c>
      <c r="B367" s="44" t="str">
        <f>IF(A367="","",EDATE(Datos!$B$19,A367-1))</f>
        <v/>
      </c>
      <c r="C367" s="35" t="str">
        <f>IF(A367="","",I366)</f>
        <v/>
      </c>
      <c r="D367" s="35" t="str">
        <f>IF(A367="","",C367*Datos!$B$17/Datos!$B$12)</f>
        <v/>
      </c>
      <c r="E367" s="35" t="str">
        <f>IF(A367="","",MIN(Datos!$B$20,C367+D367))</f>
        <v/>
      </c>
      <c r="F367" s="35" t="str">
        <f>IF(A367="","",MAX(0,E367-D367))</f>
        <v/>
      </c>
      <c r="G367" s="36">
        <v>0</v>
      </c>
      <c r="H367" s="35" t="str">
        <f>IF(A367="","",MIN(C367,F367+G367))</f>
        <v/>
      </c>
      <c r="I367" s="35" t="str">
        <f>IF(A367="","",MAX(0,C367-H367))</f>
        <v/>
      </c>
      <c r="J367" s="35" t="str">
        <f>IF(A367="","",D367+H367)</f>
        <v/>
      </c>
    </row>
    <row r="368" spans="1:10" ht="15" customHeight="1">
      <c r="A368" s="32" t="str">
        <f>IF(363&lt;=Datos!$B$13,363,"")</f>
        <v/>
      </c>
      <c r="B368" s="44" t="str">
        <f>IF(A368="","",EDATE(Datos!$B$19,A368-1))</f>
        <v/>
      </c>
      <c r="C368" s="35" t="str">
        <f>IF(A368="","",I367)</f>
        <v/>
      </c>
      <c r="D368" s="35" t="str">
        <f>IF(A368="","",C368*Datos!$B$17/Datos!$B$12)</f>
        <v/>
      </c>
      <c r="E368" s="35" t="str">
        <f>IF(A368="","",MIN(Datos!$B$20,C368+D368))</f>
        <v/>
      </c>
      <c r="F368" s="35" t="str">
        <f>IF(A368="","",MAX(0,E368-D368))</f>
        <v/>
      </c>
      <c r="G368" s="36">
        <v>0</v>
      </c>
      <c r="H368" s="35" t="str">
        <f>IF(A368="","",MIN(C368,F368+G368))</f>
        <v/>
      </c>
      <c r="I368" s="35" t="str">
        <f>IF(A368="","",MAX(0,C368-H368))</f>
        <v/>
      </c>
      <c r="J368" s="35" t="str">
        <f>IF(A368="","",D368+H368)</f>
        <v/>
      </c>
    </row>
    <row r="369" spans="1:10" ht="15" customHeight="1">
      <c r="A369" s="32" t="str">
        <f>IF(364&lt;=Datos!$B$13,364,"")</f>
        <v/>
      </c>
      <c r="B369" s="44" t="str">
        <f>IF(A369="","",EDATE(Datos!$B$19,A369-1))</f>
        <v/>
      </c>
      <c r="C369" s="35" t="str">
        <f>IF(A369="","",I368)</f>
        <v/>
      </c>
      <c r="D369" s="35" t="str">
        <f>IF(A369="","",C369*Datos!$B$17/Datos!$B$12)</f>
        <v/>
      </c>
      <c r="E369" s="35" t="str">
        <f>IF(A369="","",MIN(Datos!$B$20,C369+D369))</f>
        <v/>
      </c>
      <c r="F369" s="35" t="str">
        <f>IF(A369="","",MAX(0,E369-D369))</f>
        <v/>
      </c>
      <c r="G369" s="36">
        <v>0</v>
      </c>
      <c r="H369" s="35" t="str">
        <f>IF(A369="","",MIN(C369,F369+G369))</f>
        <v/>
      </c>
      <c r="I369" s="35" t="str">
        <f>IF(A369="","",MAX(0,C369-H369))</f>
        <v/>
      </c>
      <c r="J369" s="35" t="str">
        <f>IF(A369="","",D369+H369)</f>
        <v/>
      </c>
    </row>
    <row r="370" spans="1:10" ht="15" customHeight="1">
      <c r="A370" s="32" t="str">
        <f>IF(365&lt;=Datos!$B$13,365,"")</f>
        <v/>
      </c>
      <c r="B370" s="44" t="str">
        <f>IF(A370="","",EDATE(Datos!$B$19,A370-1))</f>
        <v/>
      </c>
      <c r="C370" s="35" t="str">
        <f>IF(A370="","",I369)</f>
        <v/>
      </c>
      <c r="D370" s="35" t="str">
        <f>IF(A370="","",C370*Datos!$B$17/Datos!$B$12)</f>
        <v/>
      </c>
      <c r="E370" s="35" t="str">
        <f>IF(A370="","",MIN(Datos!$B$20,C370+D370))</f>
        <v/>
      </c>
      <c r="F370" s="35" t="str">
        <f>IF(A370="","",MAX(0,E370-D370))</f>
        <v/>
      </c>
      <c r="G370" s="36">
        <v>0</v>
      </c>
      <c r="H370" s="35" t="str">
        <f>IF(A370="","",MIN(C370,F370+G370))</f>
        <v/>
      </c>
      <c r="I370" s="35" t="str">
        <f>IF(A370="","",MAX(0,C370-H370))</f>
        <v/>
      </c>
      <c r="J370" s="35" t="str">
        <f>IF(A370="","",D370+H370)</f>
        <v/>
      </c>
    </row>
    <row r="371" spans="1:10" ht="15" customHeight="1">
      <c r="A371" s="32" t="str">
        <f>IF(366&lt;=Datos!$B$13,366,"")</f>
        <v/>
      </c>
      <c r="B371" s="44" t="str">
        <f>IF(A371="","",EDATE(Datos!$B$19,A371-1))</f>
        <v/>
      </c>
      <c r="C371" s="35" t="str">
        <f>IF(A371="","",I370)</f>
        <v/>
      </c>
      <c r="D371" s="35" t="str">
        <f>IF(A371="","",C371*Datos!$B$17/Datos!$B$12)</f>
        <v/>
      </c>
      <c r="E371" s="35" t="str">
        <f>IF(A371="","",MIN(Datos!$B$20,C371+D371))</f>
        <v/>
      </c>
      <c r="F371" s="35" t="str">
        <f>IF(A371="","",MAX(0,E371-D371))</f>
        <v/>
      </c>
      <c r="G371" s="36">
        <v>0</v>
      </c>
      <c r="H371" s="35" t="str">
        <f>IF(A371="","",MIN(C371,F371+G371))</f>
        <v/>
      </c>
      <c r="I371" s="35" t="str">
        <f>IF(A371="","",MAX(0,C371-H371))</f>
        <v/>
      </c>
      <c r="J371" s="35" t="str">
        <f>IF(A371="","",D371+H371)</f>
        <v/>
      </c>
    </row>
    <row r="372" spans="1:10" ht="15" customHeight="1">
      <c r="A372" s="32" t="str">
        <f>IF(367&lt;=Datos!$B$13,367,"")</f>
        <v/>
      </c>
      <c r="B372" s="44" t="str">
        <f>IF(A372="","",EDATE(Datos!$B$19,A372-1))</f>
        <v/>
      </c>
      <c r="C372" s="35" t="str">
        <f>IF(A372="","",I371)</f>
        <v/>
      </c>
      <c r="D372" s="35" t="str">
        <f>IF(A372="","",C372*Datos!$B$17/Datos!$B$12)</f>
        <v/>
      </c>
      <c r="E372" s="35" t="str">
        <f>IF(A372="","",MIN(Datos!$B$20,C372+D372))</f>
        <v/>
      </c>
      <c r="F372" s="35" t="str">
        <f>IF(A372="","",MAX(0,E372-D372))</f>
        <v/>
      </c>
      <c r="G372" s="36">
        <v>0</v>
      </c>
      <c r="H372" s="35" t="str">
        <f>IF(A372="","",MIN(C372,F372+G372))</f>
        <v/>
      </c>
      <c r="I372" s="35" t="str">
        <f>IF(A372="","",MAX(0,C372-H372))</f>
        <v/>
      </c>
      <c r="J372" s="35" t="str">
        <f>IF(A372="","",D372+H372)</f>
        <v/>
      </c>
    </row>
    <row r="373" spans="1:10" ht="15" customHeight="1">
      <c r="A373" s="32" t="str">
        <f>IF(368&lt;=Datos!$B$13,368,"")</f>
        <v/>
      </c>
      <c r="B373" s="44" t="str">
        <f>IF(A373="","",EDATE(Datos!$B$19,A373-1))</f>
        <v/>
      </c>
      <c r="C373" s="35" t="str">
        <f>IF(A373="","",I372)</f>
        <v/>
      </c>
      <c r="D373" s="35" t="str">
        <f>IF(A373="","",C373*Datos!$B$17/Datos!$B$12)</f>
        <v/>
      </c>
      <c r="E373" s="35" t="str">
        <f>IF(A373="","",MIN(Datos!$B$20,C373+D373))</f>
        <v/>
      </c>
      <c r="F373" s="35" t="str">
        <f>IF(A373="","",MAX(0,E373-D373))</f>
        <v/>
      </c>
      <c r="G373" s="36">
        <v>0</v>
      </c>
      <c r="H373" s="35" t="str">
        <f>IF(A373="","",MIN(C373,F373+G373))</f>
        <v/>
      </c>
      <c r="I373" s="35" t="str">
        <f>IF(A373="","",MAX(0,C373-H373))</f>
        <v/>
      </c>
      <c r="J373" s="35" t="str">
        <f>IF(A373="","",D373+H373)</f>
        <v/>
      </c>
    </row>
    <row r="374" spans="1:10" ht="15" customHeight="1">
      <c r="A374" s="32" t="str">
        <f>IF(369&lt;=Datos!$B$13,369,"")</f>
        <v/>
      </c>
      <c r="B374" s="44" t="str">
        <f>IF(A374="","",EDATE(Datos!$B$19,A374-1))</f>
        <v/>
      </c>
      <c r="C374" s="35" t="str">
        <f>IF(A374="","",I373)</f>
        <v/>
      </c>
      <c r="D374" s="35" t="str">
        <f>IF(A374="","",C374*Datos!$B$17/Datos!$B$12)</f>
        <v/>
      </c>
      <c r="E374" s="35" t="str">
        <f>IF(A374="","",MIN(Datos!$B$20,C374+D374))</f>
        <v/>
      </c>
      <c r="F374" s="35" t="str">
        <f>IF(A374="","",MAX(0,E374-D374))</f>
        <v/>
      </c>
      <c r="G374" s="36">
        <v>0</v>
      </c>
      <c r="H374" s="35" t="str">
        <f>IF(A374="","",MIN(C374,F374+G374))</f>
        <v/>
      </c>
      <c r="I374" s="35" t="str">
        <f>IF(A374="","",MAX(0,C374-H374))</f>
        <v/>
      </c>
      <c r="J374" s="35" t="str">
        <f>IF(A374="","",D374+H374)</f>
        <v/>
      </c>
    </row>
    <row r="375" spans="1:10" ht="15" customHeight="1">
      <c r="A375" s="32" t="str">
        <f>IF(370&lt;=Datos!$B$13,370,"")</f>
        <v/>
      </c>
      <c r="B375" s="44" t="str">
        <f>IF(A375="","",EDATE(Datos!$B$19,A375-1))</f>
        <v/>
      </c>
      <c r="C375" s="35" t="str">
        <f>IF(A375="","",I374)</f>
        <v/>
      </c>
      <c r="D375" s="35" t="str">
        <f>IF(A375="","",C375*Datos!$B$17/Datos!$B$12)</f>
        <v/>
      </c>
      <c r="E375" s="35" t="str">
        <f>IF(A375="","",MIN(Datos!$B$20,C375+D375))</f>
        <v/>
      </c>
      <c r="F375" s="35" t="str">
        <f>IF(A375="","",MAX(0,E375-D375))</f>
        <v/>
      </c>
      <c r="G375" s="36">
        <v>0</v>
      </c>
      <c r="H375" s="35" t="str">
        <f>IF(A375="","",MIN(C375,F375+G375))</f>
        <v/>
      </c>
      <c r="I375" s="35" t="str">
        <f>IF(A375="","",MAX(0,C375-H375))</f>
        <v/>
      </c>
      <c r="J375" s="35" t="str">
        <f>IF(A375="","",D375+H375)</f>
        <v/>
      </c>
    </row>
    <row r="376" spans="1:10" ht="15" customHeight="1">
      <c r="A376" s="32" t="str">
        <f>IF(371&lt;=Datos!$B$13,371,"")</f>
        <v/>
      </c>
      <c r="B376" s="44" t="str">
        <f>IF(A376="","",EDATE(Datos!$B$19,A376-1))</f>
        <v/>
      </c>
      <c r="C376" s="35" t="str">
        <f>IF(A376="","",I375)</f>
        <v/>
      </c>
      <c r="D376" s="35" t="str">
        <f>IF(A376="","",C376*Datos!$B$17/Datos!$B$12)</f>
        <v/>
      </c>
      <c r="E376" s="35" t="str">
        <f>IF(A376="","",MIN(Datos!$B$20,C376+D376))</f>
        <v/>
      </c>
      <c r="F376" s="35" t="str">
        <f>IF(A376="","",MAX(0,E376-D376))</f>
        <v/>
      </c>
      <c r="G376" s="36">
        <v>0</v>
      </c>
      <c r="H376" s="35" t="str">
        <f>IF(A376="","",MIN(C376,F376+G376))</f>
        <v/>
      </c>
      <c r="I376" s="35" t="str">
        <f>IF(A376="","",MAX(0,C376-H376))</f>
        <v/>
      </c>
      <c r="J376" s="35" t="str">
        <f>IF(A376="","",D376+H376)</f>
        <v/>
      </c>
    </row>
    <row r="377" spans="1:10" ht="15" customHeight="1">
      <c r="A377" s="32" t="str">
        <f>IF(372&lt;=Datos!$B$13,372,"")</f>
        <v/>
      </c>
      <c r="B377" s="44" t="str">
        <f>IF(A377="","",EDATE(Datos!$B$19,A377-1))</f>
        <v/>
      </c>
      <c r="C377" s="35" t="str">
        <f>IF(A377="","",I376)</f>
        <v/>
      </c>
      <c r="D377" s="35" t="str">
        <f>IF(A377="","",C377*Datos!$B$17/Datos!$B$12)</f>
        <v/>
      </c>
      <c r="E377" s="35" t="str">
        <f>IF(A377="","",MIN(Datos!$B$20,C377+D377))</f>
        <v/>
      </c>
      <c r="F377" s="35" t="str">
        <f>IF(A377="","",MAX(0,E377-D377))</f>
        <v/>
      </c>
      <c r="G377" s="36">
        <v>0</v>
      </c>
      <c r="H377" s="35" t="str">
        <f>IF(A377="","",MIN(C377,F377+G377))</f>
        <v/>
      </c>
      <c r="I377" s="35" t="str">
        <f>IF(A377="","",MAX(0,C377-H377))</f>
        <v/>
      </c>
      <c r="J377" s="35" t="str">
        <f>IF(A377="","",D377+H377)</f>
        <v/>
      </c>
    </row>
    <row r="378" spans="1:10" ht="15" customHeight="1">
      <c r="A378" s="32" t="str">
        <f>IF(373&lt;=Datos!$B$13,373,"")</f>
        <v/>
      </c>
      <c r="B378" s="44" t="str">
        <f>IF(A378="","",EDATE(Datos!$B$19,A378-1))</f>
        <v/>
      </c>
      <c r="C378" s="35" t="str">
        <f>IF(A378="","",I377)</f>
        <v/>
      </c>
      <c r="D378" s="35" t="str">
        <f>IF(A378="","",C378*Datos!$B$17/Datos!$B$12)</f>
        <v/>
      </c>
      <c r="E378" s="35" t="str">
        <f>IF(A378="","",MIN(Datos!$B$20,C378+D378))</f>
        <v/>
      </c>
      <c r="F378" s="35" t="str">
        <f>IF(A378="","",MAX(0,E378-D378))</f>
        <v/>
      </c>
      <c r="G378" s="36">
        <v>0</v>
      </c>
      <c r="H378" s="35" t="str">
        <f>IF(A378="","",MIN(C378,F378+G378))</f>
        <v/>
      </c>
      <c r="I378" s="35" t="str">
        <f>IF(A378="","",MAX(0,C378-H378))</f>
        <v/>
      </c>
      <c r="J378" s="35" t="str">
        <f>IF(A378="","",D378+H378)</f>
        <v/>
      </c>
    </row>
    <row r="379" spans="1:10" ht="15" customHeight="1">
      <c r="A379" s="32" t="str">
        <f>IF(374&lt;=Datos!$B$13,374,"")</f>
        <v/>
      </c>
      <c r="B379" s="44" t="str">
        <f>IF(A379="","",EDATE(Datos!$B$19,A379-1))</f>
        <v/>
      </c>
      <c r="C379" s="35" t="str">
        <f>IF(A379="","",I378)</f>
        <v/>
      </c>
      <c r="D379" s="35" t="str">
        <f>IF(A379="","",C379*Datos!$B$17/Datos!$B$12)</f>
        <v/>
      </c>
      <c r="E379" s="35" t="str">
        <f>IF(A379="","",MIN(Datos!$B$20,C379+D379))</f>
        <v/>
      </c>
      <c r="F379" s="35" t="str">
        <f>IF(A379="","",MAX(0,E379-D379))</f>
        <v/>
      </c>
      <c r="G379" s="36">
        <v>0</v>
      </c>
      <c r="H379" s="35" t="str">
        <f>IF(A379="","",MIN(C379,F379+G379))</f>
        <v/>
      </c>
      <c r="I379" s="35" t="str">
        <f>IF(A379="","",MAX(0,C379-H379))</f>
        <v/>
      </c>
      <c r="J379" s="35" t="str">
        <f>IF(A379="","",D379+H379)</f>
        <v/>
      </c>
    </row>
    <row r="380" spans="1:10" ht="15" customHeight="1">
      <c r="A380" s="32" t="str">
        <f>IF(375&lt;=Datos!$B$13,375,"")</f>
        <v/>
      </c>
      <c r="B380" s="44" t="str">
        <f>IF(A380="","",EDATE(Datos!$B$19,A380-1))</f>
        <v/>
      </c>
      <c r="C380" s="35" t="str">
        <f>IF(A380="","",I379)</f>
        <v/>
      </c>
      <c r="D380" s="35" t="str">
        <f>IF(A380="","",C380*Datos!$B$17/Datos!$B$12)</f>
        <v/>
      </c>
      <c r="E380" s="35" t="str">
        <f>IF(A380="","",MIN(Datos!$B$20,C380+D380))</f>
        <v/>
      </c>
      <c r="F380" s="35" t="str">
        <f>IF(A380="","",MAX(0,E380-D380))</f>
        <v/>
      </c>
      <c r="G380" s="36">
        <v>0</v>
      </c>
      <c r="H380" s="35" t="str">
        <f>IF(A380="","",MIN(C380,F380+G380))</f>
        <v/>
      </c>
      <c r="I380" s="35" t="str">
        <f>IF(A380="","",MAX(0,C380-H380))</f>
        <v/>
      </c>
      <c r="J380" s="35" t="str">
        <f>IF(A380="","",D380+H380)</f>
        <v/>
      </c>
    </row>
    <row r="381" spans="1:10" ht="15" customHeight="1">
      <c r="A381" s="32" t="str">
        <f>IF(376&lt;=Datos!$B$13,376,"")</f>
        <v/>
      </c>
      <c r="B381" s="44" t="str">
        <f>IF(A381="","",EDATE(Datos!$B$19,A381-1))</f>
        <v/>
      </c>
      <c r="C381" s="35" t="str">
        <f>IF(A381="","",I380)</f>
        <v/>
      </c>
      <c r="D381" s="35" t="str">
        <f>IF(A381="","",C381*Datos!$B$17/Datos!$B$12)</f>
        <v/>
      </c>
      <c r="E381" s="35" t="str">
        <f>IF(A381="","",MIN(Datos!$B$20,C381+D381))</f>
        <v/>
      </c>
      <c r="F381" s="35" t="str">
        <f>IF(A381="","",MAX(0,E381-D381))</f>
        <v/>
      </c>
      <c r="G381" s="36">
        <v>0</v>
      </c>
      <c r="H381" s="35" t="str">
        <f>IF(A381="","",MIN(C381,F381+G381))</f>
        <v/>
      </c>
      <c r="I381" s="35" t="str">
        <f>IF(A381="","",MAX(0,C381-H381))</f>
        <v/>
      </c>
      <c r="J381" s="35" t="str">
        <f>IF(A381="","",D381+H381)</f>
        <v/>
      </c>
    </row>
    <row r="382" spans="1:10" ht="15" customHeight="1">
      <c r="A382" s="32" t="str">
        <f>IF(377&lt;=Datos!$B$13,377,"")</f>
        <v/>
      </c>
      <c r="B382" s="44" t="str">
        <f>IF(A382="","",EDATE(Datos!$B$19,A382-1))</f>
        <v/>
      </c>
      <c r="C382" s="35" t="str">
        <f>IF(A382="","",I381)</f>
        <v/>
      </c>
      <c r="D382" s="35" t="str">
        <f>IF(A382="","",C382*Datos!$B$17/Datos!$B$12)</f>
        <v/>
      </c>
      <c r="E382" s="35" t="str">
        <f>IF(A382="","",MIN(Datos!$B$20,C382+D382))</f>
        <v/>
      </c>
      <c r="F382" s="35" t="str">
        <f>IF(A382="","",MAX(0,E382-D382))</f>
        <v/>
      </c>
      <c r="G382" s="36">
        <v>0</v>
      </c>
      <c r="H382" s="35" t="str">
        <f>IF(A382="","",MIN(C382,F382+G382))</f>
        <v/>
      </c>
      <c r="I382" s="35" t="str">
        <f>IF(A382="","",MAX(0,C382-H382))</f>
        <v/>
      </c>
      <c r="J382" s="35" t="str">
        <f>IF(A382="","",D382+H382)</f>
        <v/>
      </c>
    </row>
    <row r="383" spans="1:10" ht="15" customHeight="1">
      <c r="A383" s="32" t="str">
        <f>IF(378&lt;=Datos!$B$13,378,"")</f>
        <v/>
      </c>
      <c r="B383" s="44" t="str">
        <f>IF(A383="","",EDATE(Datos!$B$19,A383-1))</f>
        <v/>
      </c>
      <c r="C383" s="35" t="str">
        <f>IF(A383="","",I382)</f>
        <v/>
      </c>
      <c r="D383" s="35" t="str">
        <f>IF(A383="","",C383*Datos!$B$17/Datos!$B$12)</f>
        <v/>
      </c>
      <c r="E383" s="35" t="str">
        <f>IF(A383="","",MIN(Datos!$B$20,C383+D383))</f>
        <v/>
      </c>
      <c r="F383" s="35" t="str">
        <f>IF(A383="","",MAX(0,E383-D383))</f>
        <v/>
      </c>
      <c r="G383" s="36">
        <v>0</v>
      </c>
      <c r="H383" s="35" t="str">
        <f>IF(A383="","",MIN(C383,F383+G383))</f>
        <v/>
      </c>
      <c r="I383" s="35" t="str">
        <f>IF(A383="","",MAX(0,C383-H383))</f>
        <v/>
      </c>
      <c r="J383" s="35" t="str">
        <f>IF(A383="","",D383+H383)</f>
        <v/>
      </c>
    </row>
    <row r="384" spans="1:10" ht="15" customHeight="1">
      <c r="A384" s="32" t="str">
        <f>IF(379&lt;=Datos!$B$13,379,"")</f>
        <v/>
      </c>
      <c r="B384" s="44" t="str">
        <f>IF(A384="","",EDATE(Datos!$B$19,A384-1))</f>
        <v/>
      </c>
      <c r="C384" s="35" t="str">
        <f>IF(A384="","",I383)</f>
        <v/>
      </c>
      <c r="D384" s="35" t="str">
        <f>IF(A384="","",C384*Datos!$B$17/Datos!$B$12)</f>
        <v/>
      </c>
      <c r="E384" s="35" t="str">
        <f>IF(A384="","",MIN(Datos!$B$20,C384+D384))</f>
        <v/>
      </c>
      <c r="F384" s="35" t="str">
        <f>IF(A384="","",MAX(0,E384-D384))</f>
        <v/>
      </c>
      <c r="G384" s="36">
        <v>0</v>
      </c>
      <c r="H384" s="35" t="str">
        <f>IF(A384="","",MIN(C384,F384+G384))</f>
        <v/>
      </c>
      <c r="I384" s="35" t="str">
        <f>IF(A384="","",MAX(0,C384-H384))</f>
        <v/>
      </c>
      <c r="J384" s="35" t="str">
        <f>IF(A384="","",D384+H384)</f>
        <v/>
      </c>
    </row>
    <row r="385" spans="1:10" ht="15" customHeight="1">
      <c r="A385" s="32" t="str">
        <f>IF(380&lt;=Datos!$B$13,380,"")</f>
        <v/>
      </c>
      <c r="B385" s="44" t="str">
        <f>IF(A385="","",EDATE(Datos!$B$19,A385-1))</f>
        <v/>
      </c>
      <c r="C385" s="35" t="str">
        <f>IF(A385="","",I384)</f>
        <v/>
      </c>
      <c r="D385" s="35" t="str">
        <f>IF(A385="","",C385*Datos!$B$17/Datos!$B$12)</f>
        <v/>
      </c>
      <c r="E385" s="35" t="str">
        <f>IF(A385="","",MIN(Datos!$B$20,C385+D385))</f>
        <v/>
      </c>
      <c r="F385" s="35" t="str">
        <f>IF(A385="","",MAX(0,E385-D385))</f>
        <v/>
      </c>
      <c r="G385" s="36">
        <v>0</v>
      </c>
      <c r="H385" s="35" t="str">
        <f>IF(A385="","",MIN(C385,F385+G385))</f>
        <v/>
      </c>
      <c r="I385" s="35" t="str">
        <f>IF(A385="","",MAX(0,C385-H385))</f>
        <v/>
      </c>
      <c r="J385" s="35" t="str">
        <f>IF(A385="","",D385+H385)</f>
        <v/>
      </c>
    </row>
    <row r="386" spans="1:10" ht="15" customHeight="1">
      <c r="A386" s="32" t="str">
        <f>IF(381&lt;=Datos!$B$13,381,"")</f>
        <v/>
      </c>
      <c r="B386" s="44" t="str">
        <f>IF(A386="","",EDATE(Datos!$B$19,A386-1))</f>
        <v/>
      </c>
      <c r="C386" s="35" t="str">
        <f>IF(A386="","",I385)</f>
        <v/>
      </c>
      <c r="D386" s="35" t="str">
        <f>IF(A386="","",C386*Datos!$B$17/Datos!$B$12)</f>
        <v/>
      </c>
      <c r="E386" s="35" t="str">
        <f>IF(A386="","",MIN(Datos!$B$20,C386+D386))</f>
        <v/>
      </c>
      <c r="F386" s="35" t="str">
        <f>IF(A386="","",MAX(0,E386-D386))</f>
        <v/>
      </c>
      <c r="G386" s="36">
        <v>0</v>
      </c>
      <c r="H386" s="35" t="str">
        <f>IF(A386="","",MIN(C386,F386+G386))</f>
        <v/>
      </c>
      <c r="I386" s="35" t="str">
        <f>IF(A386="","",MAX(0,C386-H386))</f>
        <v/>
      </c>
      <c r="J386" s="35" t="str">
        <f>IF(A386="","",D386+H386)</f>
        <v/>
      </c>
    </row>
    <row r="387" spans="1:10" ht="15" customHeight="1">
      <c r="A387" s="32" t="str">
        <f>IF(382&lt;=Datos!$B$13,382,"")</f>
        <v/>
      </c>
      <c r="B387" s="44" t="str">
        <f>IF(A387="","",EDATE(Datos!$B$19,A387-1))</f>
        <v/>
      </c>
      <c r="C387" s="35" t="str">
        <f>IF(A387="","",I386)</f>
        <v/>
      </c>
      <c r="D387" s="35" t="str">
        <f>IF(A387="","",C387*Datos!$B$17/Datos!$B$12)</f>
        <v/>
      </c>
      <c r="E387" s="35" t="str">
        <f>IF(A387="","",MIN(Datos!$B$20,C387+D387))</f>
        <v/>
      </c>
      <c r="F387" s="35" t="str">
        <f>IF(A387="","",MAX(0,E387-D387))</f>
        <v/>
      </c>
      <c r="G387" s="36">
        <v>0</v>
      </c>
      <c r="H387" s="35" t="str">
        <f>IF(A387="","",MIN(C387,F387+G387))</f>
        <v/>
      </c>
      <c r="I387" s="35" t="str">
        <f>IF(A387="","",MAX(0,C387-H387))</f>
        <v/>
      </c>
      <c r="J387" s="35" t="str">
        <f>IF(A387="","",D387+H387)</f>
        <v/>
      </c>
    </row>
    <row r="388" spans="1:10" ht="15" customHeight="1">
      <c r="A388" s="32" t="str">
        <f>IF(383&lt;=Datos!$B$13,383,"")</f>
        <v/>
      </c>
      <c r="B388" s="44" t="str">
        <f>IF(A388="","",EDATE(Datos!$B$19,A388-1))</f>
        <v/>
      </c>
      <c r="C388" s="35" t="str">
        <f>IF(A388="","",I387)</f>
        <v/>
      </c>
      <c r="D388" s="35" t="str">
        <f>IF(A388="","",C388*Datos!$B$17/Datos!$B$12)</f>
        <v/>
      </c>
      <c r="E388" s="35" t="str">
        <f>IF(A388="","",MIN(Datos!$B$20,C388+D388))</f>
        <v/>
      </c>
      <c r="F388" s="35" t="str">
        <f>IF(A388="","",MAX(0,E388-D388))</f>
        <v/>
      </c>
      <c r="G388" s="36">
        <v>0</v>
      </c>
      <c r="H388" s="35" t="str">
        <f>IF(A388="","",MIN(C388,F388+G388))</f>
        <v/>
      </c>
      <c r="I388" s="35" t="str">
        <f>IF(A388="","",MAX(0,C388-H388))</f>
        <v/>
      </c>
      <c r="J388" s="35" t="str">
        <f>IF(A388="","",D388+H388)</f>
        <v/>
      </c>
    </row>
    <row r="389" spans="1:10" ht="15" customHeight="1">
      <c r="A389" s="32" t="str">
        <f>IF(384&lt;=Datos!$B$13,384,"")</f>
        <v/>
      </c>
      <c r="B389" s="44" t="str">
        <f>IF(A389="","",EDATE(Datos!$B$19,A389-1))</f>
        <v/>
      </c>
      <c r="C389" s="35" t="str">
        <f>IF(A389="","",I388)</f>
        <v/>
      </c>
      <c r="D389" s="35" t="str">
        <f>IF(A389="","",C389*Datos!$B$17/Datos!$B$12)</f>
        <v/>
      </c>
      <c r="E389" s="35" t="str">
        <f>IF(A389="","",MIN(Datos!$B$20,C389+D389))</f>
        <v/>
      </c>
      <c r="F389" s="35" t="str">
        <f>IF(A389="","",MAX(0,E389-D389))</f>
        <v/>
      </c>
      <c r="G389" s="36">
        <v>0</v>
      </c>
      <c r="H389" s="35" t="str">
        <f>IF(A389="","",MIN(C389,F389+G389))</f>
        <v/>
      </c>
      <c r="I389" s="35" t="str">
        <f>IF(A389="","",MAX(0,C389-H389))</f>
        <v/>
      </c>
      <c r="J389" s="35" t="str">
        <f>IF(A389="","",D389+H389)</f>
        <v/>
      </c>
    </row>
    <row r="390" spans="1:10" ht="15" customHeight="1">
      <c r="A390" s="32" t="str">
        <f>IF(385&lt;=Datos!$B$13,385,"")</f>
        <v/>
      </c>
      <c r="B390" s="44" t="str">
        <f>IF(A390="","",EDATE(Datos!$B$19,A390-1))</f>
        <v/>
      </c>
      <c r="C390" s="35" t="str">
        <f>IF(A390="","",I389)</f>
        <v/>
      </c>
      <c r="D390" s="35" t="str">
        <f>IF(A390="","",C390*Datos!$B$17/Datos!$B$12)</f>
        <v/>
      </c>
      <c r="E390" s="35" t="str">
        <f>IF(A390="","",MIN(Datos!$B$20,C390+D390))</f>
        <v/>
      </c>
      <c r="F390" s="35" t="str">
        <f>IF(A390="","",MAX(0,E390-D390))</f>
        <v/>
      </c>
      <c r="G390" s="36">
        <v>0</v>
      </c>
      <c r="H390" s="35" t="str">
        <f>IF(A390="","",MIN(C390,F390+G390))</f>
        <v/>
      </c>
      <c r="I390" s="35" t="str">
        <f>IF(A390="","",MAX(0,C390-H390))</f>
        <v/>
      </c>
      <c r="J390" s="35" t="str">
        <f>IF(A390="","",D390+H390)</f>
        <v/>
      </c>
    </row>
    <row r="391" spans="1:10" ht="15" customHeight="1">
      <c r="A391" s="32" t="str">
        <f>IF(386&lt;=Datos!$B$13,386,"")</f>
        <v/>
      </c>
      <c r="B391" s="44" t="str">
        <f>IF(A391="","",EDATE(Datos!$B$19,A391-1))</f>
        <v/>
      </c>
      <c r="C391" s="35" t="str">
        <f>IF(A391="","",I390)</f>
        <v/>
      </c>
      <c r="D391" s="35" t="str">
        <f>IF(A391="","",C391*Datos!$B$17/Datos!$B$12)</f>
        <v/>
      </c>
      <c r="E391" s="35" t="str">
        <f>IF(A391="","",MIN(Datos!$B$20,C391+D391))</f>
        <v/>
      </c>
      <c r="F391" s="35" t="str">
        <f>IF(A391="","",MAX(0,E391-D391))</f>
        <v/>
      </c>
      <c r="G391" s="36">
        <v>0</v>
      </c>
      <c r="H391" s="35" t="str">
        <f>IF(A391="","",MIN(C391,F391+G391))</f>
        <v/>
      </c>
      <c r="I391" s="35" t="str">
        <f>IF(A391="","",MAX(0,C391-H391))</f>
        <v/>
      </c>
      <c r="J391" s="35" t="str">
        <f>IF(A391="","",D391+H391)</f>
        <v/>
      </c>
    </row>
    <row r="392" spans="1:10" ht="15" customHeight="1">
      <c r="A392" s="32" t="str">
        <f>IF(387&lt;=Datos!$B$13,387,"")</f>
        <v/>
      </c>
      <c r="B392" s="44" t="str">
        <f>IF(A392="","",EDATE(Datos!$B$19,A392-1))</f>
        <v/>
      </c>
      <c r="C392" s="35" t="str">
        <f>IF(A392="","",I391)</f>
        <v/>
      </c>
      <c r="D392" s="35" t="str">
        <f>IF(A392="","",C392*Datos!$B$17/Datos!$B$12)</f>
        <v/>
      </c>
      <c r="E392" s="35" t="str">
        <f>IF(A392="","",MIN(Datos!$B$20,C392+D392))</f>
        <v/>
      </c>
      <c r="F392" s="35" t="str">
        <f>IF(A392="","",MAX(0,E392-D392))</f>
        <v/>
      </c>
      <c r="G392" s="36">
        <v>0</v>
      </c>
      <c r="H392" s="35" t="str">
        <f>IF(A392="","",MIN(C392,F392+G392))</f>
        <v/>
      </c>
      <c r="I392" s="35" t="str">
        <f>IF(A392="","",MAX(0,C392-H392))</f>
        <v/>
      </c>
      <c r="J392" s="35" t="str">
        <f>IF(A392="","",D392+H392)</f>
        <v/>
      </c>
    </row>
    <row r="393" spans="1:10" ht="15" customHeight="1">
      <c r="A393" s="32" t="str">
        <f>IF(388&lt;=Datos!$B$13,388,"")</f>
        <v/>
      </c>
      <c r="B393" s="44" t="str">
        <f>IF(A393="","",EDATE(Datos!$B$19,A393-1))</f>
        <v/>
      </c>
      <c r="C393" s="35" t="str">
        <f>IF(A393="","",I392)</f>
        <v/>
      </c>
      <c r="D393" s="35" t="str">
        <f>IF(A393="","",C393*Datos!$B$17/Datos!$B$12)</f>
        <v/>
      </c>
      <c r="E393" s="35" t="str">
        <f>IF(A393="","",MIN(Datos!$B$20,C393+D393))</f>
        <v/>
      </c>
      <c r="F393" s="35" t="str">
        <f>IF(A393="","",MAX(0,E393-D393))</f>
        <v/>
      </c>
      <c r="G393" s="36">
        <v>0</v>
      </c>
      <c r="H393" s="35" t="str">
        <f>IF(A393="","",MIN(C393,F393+G393))</f>
        <v/>
      </c>
      <c r="I393" s="35" t="str">
        <f>IF(A393="","",MAX(0,C393-H393))</f>
        <v/>
      </c>
      <c r="J393" s="35" t="str">
        <f>IF(A393="","",D393+H393)</f>
        <v/>
      </c>
    </row>
    <row r="394" spans="1:10" ht="15" customHeight="1">
      <c r="A394" s="32" t="str">
        <f>IF(389&lt;=Datos!$B$13,389,"")</f>
        <v/>
      </c>
      <c r="B394" s="44" t="str">
        <f>IF(A394="","",EDATE(Datos!$B$19,A394-1))</f>
        <v/>
      </c>
      <c r="C394" s="35" t="str">
        <f>IF(A394="","",I393)</f>
        <v/>
      </c>
      <c r="D394" s="35" t="str">
        <f>IF(A394="","",C394*Datos!$B$17/Datos!$B$12)</f>
        <v/>
      </c>
      <c r="E394" s="35" t="str">
        <f>IF(A394="","",MIN(Datos!$B$20,C394+D394))</f>
        <v/>
      </c>
      <c r="F394" s="35" t="str">
        <f>IF(A394="","",MAX(0,E394-D394))</f>
        <v/>
      </c>
      <c r="G394" s="36">
        <v>0</v>
      </c>
      <c r="H394" s="35" t="str">
        <f>IF(A394="","",MIN(C394,F394+G394))</f>
        <v/>
      </c>
      <c r="I394" s="35" t="str">
        <f>IF(A394="","",MAX(0,C394-H394))</f>
        <v/>
      </c>
      <c r="J394" s="35" t="str">
        <f>IF(A394="","",D394+H394)</f>
        <v/>
      </c>
    </row>
    <row r="395" spans="1:10" ht="15" customHeight="1">
      <c r="A395" s="32" t="str">
        <f>IF(390&lt;=Datos!$B$13,390,"")</f>
        <v/>
      </c>
      <c r="B395" s="44" t="str">
        <f>IF(A395="","",EDATE(Datos!$B$19,A395-1))</f>
        <v/>
      </c>
      <c r="C395" s="35" t="str">
        <f>IF(A395="","",I394)</f>
        <v/>
      </c>
      <c r="D395" s="35" t="str">
        <f>IF(A395="","",C395*Datos!$B$17/Datos!$B$12)</f>
        <v/>
      </c>
      <c r="E395" s="35" t="str">
        <f>IF(A395="","",MIN(Datos!$B$20,C395+D395))</f>
        <v/>
      </c>
      <c r="F395" s="35" t="str">
        <f>IF(A395="","",MAX(0,E395-D395))</f>
        <v/>
      </c>
      <c r="G395" s="36">
        <v>0</v>
      </c>
      <c r="H395" s="35" t="str">
        <f>IF(A395="","",MIN(C395,F395+G395))</f>
        <v/>
      </c>
      <c r="I395" s="35" t="str">
        <f>IF(A395="","",MAX(0,C395-H395))</f>
        <v/>
      </c>
      <c r="J395" s="35" t="str">
        <f>IF(A395="","",D395+H395)</f>
        <v/>
      </c>
    </row>
    <row r="396" spans="1:10" ht="15" customHeight="1">
      <c r="A396" s="32" t="str">
        <f>IF(391&lt;=Datos!$B$13,391,"")</f>
        <v/>
      </c>
      <c r="B396" s="44" t="str">
        <f>IF(A396="","",EDATE(Datos!$B$19,A396-1))</f>
        <v/>
      </c>
      <c r="C396" s="35" t="str">
        <f>IF(A396="","",I395)</f>
        <v/>
      </c>
      <c r="D396" s="35" t="str">
        <f>IF(A396="","",C396*Datos!$B$17/Datos!$B$12)</f>
        <v/>
      </c>
      <c r="E396" s="35" t="str">
        <f>IF(A396="","",MIN(Datos!$B$20,C396+D396))</f>
        <v/>
      </c>
      <c r="F396" s="35" t="str">
        <f>IF(A396="","",MAX(0,E396-D396))</f>
        <v/>
      </c>
      <c r="G396" s="36">
        <v>0</v>
      </c>
      <c r="H396" s="35" t="str">
        <f>IF(A396="","",MIN(C396,F396+G396))</f>
        <v/>
      </c>
      <c r="I396" s="35" t="str">
        <f>IF(A396="","",MAX(0,C396-H396))</f>
        <v/>
      </c>
      <c r="J396" s="35" t="str">
        <f>IF(A396="","",D396+H396)</f>
        <v/>
      </c>
    </row>
    <row r="397" spans="1:10" ht="15" customHeight="1">
      <c r="A397" s="32" t="str">
        <f>IF(392&lt;=Datos!$B$13,392,"")</f>
        <v/>
      </c>
      <c r="B397" s="44" t="str">
        <f>IF(A397="","",EDATE(Datos!$B$19,A397-1))</f>
        <v/>
      </c>
      <c r="C397" s="35" t="str">
        <f>IF(A397="","",I396)</f>
        <v/>
      </c>
      <c r="D397" s="35" t="str">
        <f>IF(A397="","",C397*Datos!$B$17/Datos!$B$12)</f>
        <v/>
      </c>
      <c r="E397" s="35" t="str">
        <f>IF(A397="","",MIN(Datos!$B$20,C397+D397))</f>
        <v/>
      </c>
      <c r="F397" s="35" t="str">
        <f>IF(A397="","",MAX(0,E397-D397))</f>
        <v/>
      </c>
      <c r="G397" s="36">
        <v>0</v>
      </c>
      <c r="H397" s="35" t="str">
        <f>IF(A397="","",MIN(C397,F397+G397))</f>
        <v/>
      </c>
      <c r="I397" s="35" t="str">
        <f>IF(A397="","",MAX(0,C397-H397))</f>
        <v/>
      </c>
      <c r="J397" s="35" t="str">
        <f>IF(A397="","",D397+H397)</f>
        <v/>
      </c>
    </row>
    <row r="398" spans="1:10" ht="15" customHeight="1">
      <c r="A398" s="32" t="str">
        <f>IF(393&lt;=Datos!$B$13,393,"")</f>
        <v/>
      </c>
      <c r="B398" s="44" t="str">
        <f>IF(A398="","",EDATE(Datos!$B$19,A398-1))</f>
        <v/>
      </c>
      <c r="C398" s="35" t="str">
        <f>IF(A398="","",I397)</f>
        <v/>
      </c>
      <c r="D398" s="35" t="str">
        <f>IF(A398="","",C398*Datos!$B$17/Datos!$B$12)</f>
        <v/>
      </c>
      <c r="E398" s="35" t="str">
        <f>IF(A398="","",MIN(Datos!$B$20,C398+D398))</f>
        <v/>
      </c>
      <c r="F398" s="35" t="str">
        <f>IF(A398="","",MAX(0,E398-D398))</f>
        <v/>
      </c>
      <c r="G398" s="36">
        <v>0</v>
      </c>
      <c r="H398" s="35" t="str">
        <f>IF(A398="","",MIN(C398,F398+G398))</f>
        <v/>
      </c>
      <c r="I398" s="35" t="str">
        <f>IF(A398="","",MAX(0,C398-H398))</f>
        <v/>
      </c>
      <c r="J398" s="35" t="str">
        <f>IF(A398="","",D398+H398)</f>
        <v/>
      </c>
    </row>
    <row r="399" spans="1:10" ht="15" customHeight="1">
      <c r="A399" s="32" t="str">
        <f>IF(394&lt;=Datos!$B$13,394,"")</f>
        <v/>
      </c>
      <c r="B399" s="44" t="str">
        <f>IF(A399="","",EDATE(Datos!$B$19,A399-1))</f>
        <v/>
      </c>
      <c r="C399" s="35" t="str">
        <f>IF(A399="","",I398)</f>
        <v/>
      </c>
      <c r="D399" s="35" t="str">
        <f>IF(A399="","",C399*Datos!$B$17/Datos!$B$12)</f>
        <v/>
      </c>
      <c r="E399" s="35" t="str">
        <f>IF(A399="","",MIN(Datos!$B$20,C399+D399))</f>
        <v/>
      </c>
      <c r="F399" s="35" t="str">
        <f>IF(A399="","",MAX(0,E399-D399))</f>
        <v/>
      </c>
      <c r="G399" s="36">
        <v>0</v>
      </c>
      <c r="H399" s="35" t="str">
        <f>IF(A399="","",MIN(C399,F399+G399))</f>
        <v/>
      </c>
      <c r="I399" s="35" t="str">
        <f>IF(A399="","",MAX(0,C399-H399))</f>
        <v/>
      </c>
      <c r="J399" s="35" t="str">
        <f>IF(A399="","",D399+H399)</f>
        <v/>
      </c>
    </row>
    <row r="400" spans="1:10" ht="15" customHeight="1">
      <c r="A400" s="32" t="str">
        <f>IF(395&lt;=Datos!$B$13,395,"")</f>
        <v/>
      </c>
      <c r="B400" s="44" t="str">
        <f>IF(A400="","",EDATE(Datos!$B$19,A400-1))</f>
        <v/>
      </c>
      <c r="C400" s="35" t="str">
        <f>IF(A400="","",I399)</f>
        <v/>
      </c>
      <c r="D400" s="35" t="str">
        <f>IF(A400="","",C400*Datos!$B$17/Datos!$B$12)</f>
        <v/>
      </c>
      <c r="E400" s="35" t="str">
        <f>IF(A400="","",MIN(Datos!$B$20,C400+D400))</f>
        <v/>
      </c>
      <c r="F400" s="35" t="str">
        <f>IF(A400="","",MAX(0,E400-D400))</f>
        <v/>
      </c>
      <c r="G400" s="36">
        <v>0</v>
      </c>
      <c r="H400" s="35" t="str">
        <f>IF(A400="","",MIN(C400,F400+G400))</f>
        <v/>
      </c>
      <c r="I400" s="35" t="str">
        <f>IF(A400="","",MAX(0,C400-H400))</f>
        <v/>
      </c>
      <c r="J400" s="35" t="str">
        <f>IF(A400="","",D400+H400)</f>
        <v/>
      </c>
    </row>
    <row r="401" spans="1:10" ht="15" customHeight="1">
      <c r="A401" s="32" t="str">
        <f>IF(396&lt;=Datos!$B$13,396,"")</f>
        <v/>
      </c>
      <c r="B401" s="44" t="str">
        <f>IF(A401="","",EDATE(Datos!$B$19,A401-1))</f>
        <v/>
      </c>
      <c r="C401" s="35" t="str">
        <f>IF(A401="","",I400)</f>
        <v/>
      </c>
      <c r="D401" s="35" t="str">
        <f>IF(A401="","",C401*Datos!$B$17/Datos!$B$12)</f>
        <v/>
      </c>
      <c r="E401" s="35" t="str">
        <f>IF(A401="","",MIN(Datos!$B$20,C401+D401))</f>
        <v/>
      </c>
      <c r="F401" s="35" t="str">
        <f>IF(A401="","",MAX(0,E401-D401))</f>
        <v/>
      </c>
      <c r="G401" s="36">
        <v>0</v>
      </c>
      <c r="H401" s="35" t="str">
        <f>IF(A401="","",MIN(C401,F401+G401))</f>
        <v/>
      </c>
      <c r="I401" s="35" t="str">
        <f>IF(A401="","",MAX(0,C401-H401))</f>
        <v/>
      </c>
      <c r="J401" s="35" t="str">
        <f>IF(A401="","",D401+H401)</f>
        <v/>
      </c>
    </row>
    <row r="402" spans="1:10" ht="15" customHeight="1">
      <c r="A402" s="32" t="str">
        <f>IF(397&lt;=Datos!$B$13,397,"")</f>
        <v/>
      </c>
      <c r="B402" s="44" t="str">
        <f>IF(A402="","",EDATE(Datos!$B$19,A402-1))</f>
        <v/>
      </c>
      <c r="C402" s="35" t="str">
        <f>IF(A402="","",I401)</f>
        <v/>
      </c>
      <c r="D402" s="35" t="str">
        <f>IF(A402="","",C402*Datos!$B$17/Datos!$B$12)</f>
        <v/>
      </c>
      <c r="E402" s="35" t="str">
        <f>IF(A402="","",MIN(Datos!$B$20,C402+D402))</f>
        <v/>
      </c>
      <c r="F402" s="35" t="str">
        <f>IF(A402="","",MAX(0,E402-D402))</f>
        <v/>
      </c>
      <c r="G402" s="36">
        <v>0</v>
      </c>
      <c r="H402" s="35" t="str">
        <f>IF(A402="","",MIN(C402,F402+G402))</f>
        <v/>
      </c>
      <c r="I402" s="35" t="str">
        <f>IF(A402="","",MAX(0,C402-H402))</f>
        <v/>
      </c>
      <c r="J402" s="35" t="str">
        <f>IF(A402="","",D402+H402)</f>
        <v/>
      </c>
    </row>
    <row r="403" spans="1:10" ht="15" customHeight="1">
      <c r="A403" s="32" t="str">
        <f>IF(398&lt;=Datos!$B$13,398,"")</f>
        <v/>
      </c>
      <c r="B403" s="44" t="str">
        <f>IF(A403="","",EDATE(Datos!$B$19,A403-1))</f>
        <v/>
      </c>
      <c r="C403" s="35" t="str">
        <f>IF(A403="","",I402)</f>
        <v/>
      </c>
      <c r="D403" s="35" t="str">
        <f>IF(A403="","",C403*Datos!$B$17/Datos!$B$12)</f>
        <v/>
      </c>
      <c r="E403" s="35" t="str">
        <f>IF(A403="","",MIN(Datos!$B$20,C403+D403))</f>
        <v/>
      </c>
      <c r="F403" s="35" t="str">
        <f>IF(A403="","",MAX(0,E403-D403))</f>
        <v/>
      </c>
      <c r="G403" s="36">
        <v>0</v>
      </c>
      <c r="H403" s="35" t="str">
        <f>IF(A403="","",MIN(C403,F403+G403))</f>
        <v/>
      </c>
      <c r="I403" s="35" t="str">
        <f>IF(A403="","",MAX(0,C403-H403))</f>
        <v/>
      </c>
      <c r="J403" s="35" t="str">
        <f>IF(A403="","",D403+H403)</f>
        <v/>
      </c>
    </row>
    <row r="404" spans="1:10" ht="15" customHeight="1">
      <c r="A404" s="32" t="str">
        <f>IF(399&lt;=Datos!$B$13,399,"")</f>
        <v/>
      </c>
      <c r="B404" s="44" t="str">
        <f>IF(A404="","",EDATE(Datos!$B$19,A404-1))</f>
        <v/>
      </c>
      <c r="C404" s="35" t="str">
        <f>IF(A404="","",I403)</f>
        <v/>
      </c>
      <c r="D404" s="35" t="str">
        <f>IF(A404="","",C404*Datos!$B$17/Datos!$B$12)</f>
        <v/>
      </c>
      <c r="E404" s="35" t="str">
        <f>IF(A404="","",MIN(Datos!$B$20,C404+D404))</f>
        <v/>
      </c>
      <c r="F404" s="35" t="str">
        <f>IF(A404="","",MAX(0,E404-D404))</f>
        <v/>
      </c>
      <c r="G404" s="36">
        <v>0</v>
      </c>
      <c r="H404" s="35" t="str">
        <f>IF(A404="","",MIN(C404,F404+G404))</f>
        <v/>
      </c>
      <c r="I404" s="35" t="str">
        <f>IF(A404="","",MAX(0,C404-H404))</f>
        <v/>
      </c>
      <c r="J404" s="35" t="str">
        <f>IF(A404="","",D404+H404)</f>
        <v/>
      </c>
    </row>
    <row r="405" spans="1:10" ht="15" customHeight="1">
      <c r="A405" s="32" t="str">
        <f>IF(400&lt;=Datos!$B$13,400,"")</f>
        <v/>
      </c>
      <c r="B405" s="44" t="str">
        <f>IF(A405="","",EDATE(Datos!$B$19,A405-1))</f>
        <v/>
      </c>
      <c r="C405" s="35" t="str">
        <f>IF(A405="","",I404)</f>
        <v/>
      </c>
      <c r="D405" s="35" t="str">
        <f>IF(A405="","",C405*Datos!$B$17/Datos!$B$12)</f>
        <v/>
      </c>
      <c r="E405" s="35" t="str">
        <f>IF(A405="","",MIN(Datos!$B$20,C405+D405))</f>
        <v/>
      </c>
      <c r="F405" s="35" t="str">
        <f>IF(A405="","",MAX(0,E405-D405))</f>
        <v/>
      </c>
      <c r="G405" s="36">
        <v>0</v>
      </c>
      <c r="H405" s="35" t="str">
        <f>IF(A405="","",MIN(C405,F405+G405))</f>
        <v/>
      </c>
      <c r="I405" s="35" t="str">
        <f>IF(A405="","",MAX(0,C405-H405))</f>
        <v/>
      </c>
      <c r="J405" s="35" t="str">
        <f>IF(A405="","",D405+H405)</f>
        <v/>
      </c>
    </row>
    <row r="406" spans="1:10" ht="15" customHeight="1">
      <c r="A406" s="32" t="str">
        <f>IF(401&lt;=Datos!$B$13,401,"")</f>
        <v/>
      </c>
      <c r="B406" s="44" t="str">
        <f>IF(A406="","",EDATE(Datos!$B$19,A406-1))</f>
        <v/>
      </c>
      <c r="C406" s="35" t="str">
        <f>IF(A406="","",I405)</f>
        <v/>
      </c>
      <c r="D406" s="35" t="str">
        <f>IF(A406="","",C406*Datos!$B$17/Datos!$B$12)</f>
        <v/>
      </c>
      <c r="E406" s="35" t="str">
        <f>IF(A406="","",MIN(Datos!$B$20,C406+D406))</f>
        <v/>
      </c>
      <c r="F406" s="35" t="str">
        <f>IF(A406="","",MAX(0,E406-D406))</f>
        <v/>
      </c>
      <c r="G406" s="36">
        <v>0</v>
      </c>
      <c r="H406" s="35" t="str">
        <f>IF(A406="","",MIN(C406,F406+G406))</f>
        <v/>
      </c>
      <c r="I406" s="35" t="str">
        <f>IF(A406="","",MAX(0,C406-H406))</f>
        <v/>
      </c>
      <c r="J406" s="35" t="str">
        <f>IF(A406="","",D406+H406)</f>
        <v/>
      </c>
    </row>
    <row r="407" spans="1:10" ht="15" customHeight="1">
      <c r="A407" s="32" t="str">
        <f>IF(402&lt;=Datos!$B$13,402,"")</f>
        <v/>
      </c>
      <c r="B407" s="44" t="str">
        <f>IF(A407="","",EDATE(Datos!$B$19,A407-1))</f>
        <v/>
      </c>
      <c r="C407" s="35" t="str">
        <f>IF(A407="","",I406)</f>
        <v/>
      </c>
      <c r="D407" s="35" t="str">
        <f>IF(A407="","",C407*Datos!$B$17/Datos!$B$12)</f>
        <v/>
      </c>
      <c r="E407" s="35" t="str">
        <f>IF(A407="","",MIN(Datos!$B$20,C407+D407))</f>
        <v/>
      </c>
      <c r="F407" s="35" t="str">
        <f>IF(A407="","",MAX(0,E407-D407))</f>
        <v/>
      </c>
      <c r="G407" s="36">
        <v>0</v>
      </c>
      <c r="H407" s="35" t="str">
        <f>IF(A407="","",MIN(C407,F407+G407))</f>
        <v/>
      </c>
      <c r="I407" s="35" t="str">
        <f>IF(A407="","",MAX(0,C407-H407))</f>
        <v/>
      </c>
      <c r="J407" s="35" t="str">
        <f>IF(A407="","",D407+H407)</f>
        <v/>
      </c>
    </row>
    <row r="408" spans="1:10" ht="15" customHeight="1">
      <c r="A408" s="32" t="str">
        <f>IF(403&lt;=Datos!$B$13,403,"")</f>
        <v/>
      </c>
      <c r="B408" s="44" t="str">
        <f>IF(A408="","",EDATE(Datos!$B$19,A408-1))</f>
        <v/>
      </c>
      <c r="C408" s="35" t="str">
        <f>IF(A408="","",I407)</f>
        <v/>
      </c>
      <c r="D408" s="35" t="str">
        <f>IF(A408="","",C408*Datos!$B$17/Datos!$B$12)</f>
        <v/>
      </c>
      <c r="E408" s="35" t="str">
        <f>IF(A408="","",MIN(Datos!$B$20,C408+D408))</f>
        <v/>
      </c>
      <c r="F408" s="35" t="str">
        <f>IF(A408="","",MAX(0,E408-D408))</f>
        <v/>
      </c>
      <c r="G408" s="36">
        <v>0</v>
      </c>
      <c r="H408" s="35" t="str">
        <f>IF(A408="","",MIN(C408,F408+G408))</f>
        <v/>
      </c>
      <c r="I408" s="35" t="str">
        <f>IF(A408="","",MAX(0,C408-H408))</f>
        <v/>
      </c>
      <c r="J408" s="35" t="str">
        <f>IF(A408="","",D408+H408)</f>
        <v/>
      </c>
    </row>
    <row r="409" spans="1:10" ht="15" customHeight="1">
      <c r="A409" s="32" t="str">
        <f>IF(404&lt;=Datos!$B$13,404,"")</f>
        <v/>
      </c>
      <c r="B409" s="44" t="str">
        <f>IF(A409="","",EDATE(Datos!$B$19,A409-1))</f>
        <v/>
      </c>
      <c r="C409" s="35" t="str">
        <f>IF(A409="","",I408)</f>
        <v/>
      </c>
      <c r="D409" s="35" t="str">
        <f>IF(A409="","",C409*Datos!$B$17/Datos!$B$12)</f>
        <v/>
      </c>
      <c r="E409" s="35" t="str">
        <f>IF(A409="","",MIN(Datos!$B$20,C409+D409))</f>
        <v/>
      </c>
      <c r="F409" s="35" t="str">
        <f>IF(A409="","",MAX(0,E409-D409))</f>
        <v/>
      </c>
      <c r="G409" s="36">
        <v>0</v>
      </c>
      <c r="H409" s="35" t="str">
        <f>IF(A409="","",MIN(C409,F409+G409))</f>
        <v/>
      </c>
      <c r="I409" s="35" t="str">
        <f>IF(A409="","",MAX(0,C409-H409))</f>
        <v/>
      </c>
      <c r="J409" s="35" t="str">
        <f>IF(A409="","",D409+H409)</f>
        <v/>
      </c>
    </row>
    <row r="410" spans="1:10" ht="15" customHeight="1">
      <c r="A410" s="32" t="str">
        <f>IF(405&lt;=Datos!$B$13,405,"")</f>
        <v/>
      </c>
      <c r="B410" s="44" t="str">
        <f>IF(A410="","",EDATE(Datos!$B$19,A410-1))</f>
        <v/>
      </c>
      <c r="C410" s="35" t="str">
        <f>IF(A410="","",I409)</f>
        <v/>
      </c>
      <c r="D410" s="35" t="str">
        <f>IF(A410="","",C410*Datos!$B$17/Datos!$B$12)</f>
        <v/>
      </c>
      <c r="E410" s="35" t="str">
        <f>IF(A410="","",MIN(Datos!$B$20,C410+D410))</f>
        <v/>
      </c>
      <c r="F410" s="35" t="str">
        <f>IF(A410="","",MAX(0,E410-D410))</f>
        <v/>
      </c>
      <c r="G410" s="36">
        <v>0</v>
      </c>
      <c r="H410" s="35" t="str">
        <f>IF(A410="","",MIN(C410,F410+G410))</f>
        <v/>
      </c>
      <c r="I410" s="35" t="str">
        <f>IF(A410="","",MAX(0,C410-H410))</f>
        <v/>
      </c>
      <c r="J410" s="35" t="str">
        <f>IF(A410="","",D410+H410)</f>
        <v/>
      </c>
    </row>
    <row r="411" spans="1:10" ht="15" customHeight="1">
      <c r="A411" s="32" t="str">
        <f>IF(406&lt;=Datos!$B$13,406,"")</f>
        <v/>
      </c>
      <c r="B411" s="44" t="str">
        <f>IF(A411="","",EDATE(Datos!$B$19,A411-1))</f>
        <v/>
      </c>
      <c r="C411" s="35" t="str">
        <f>IF(A411="","",I410)</f>
        <v/>
      </c>
      <c r="D411" s="35" t="str">
        <f>IF(A411="","",C411*Datos!$B$17/Datos!$B$12)</f>
        <v/>
      </c>
      <c r="E411" s="35" t="str">
        <f>IF(A411="","",MIN(Datos!$B$20,C411+D411))</f>
        <v/>
      </c>
      <c r="F411" s="35" t="str">
        <f>IF(A411="","",MAX(0,E411-D411))</f>
        <v/>
      </c>
      <c r="G411" s="36">
        <v>0</v>
      </c>
      <c r="H411" s="35" t="str">
        <f>IF(A411="","",MIN(C411,F411+G411))</f>
        <v/>
      </c>
      <c r="I411" s="35" t="str">
        <f>IF(A411="","",MAX(0,C411-H411))</f>
        <v/>
      </c>
      <c r="J411" s="35" t="str">
        <f>IF(A411="","",D411+H411)</f>
        <v/>
      </c>
    </row>
    <row r="412" spans="1:10" ht="15" customHeight="1">
      <c r="A412" s="32" t="str">
        <f>IF(407&lt;=Datos!$B$13,407,"")</f>
        <v/>
      </c>
      <c r="B412" s="44" t="str">
        <f>IF(A412="","",EDATE(Datos!$B$19,A412-1))</f>
        <v/>
      </c>
      <c r="C412" s="35" t="str">
        <f>IF(A412="","",I411)</f>
        <v/>
      </c>
      <c r="D412" s="35" t="str">
        <f>IF(A412="","",C412*Datos!$B$17/Datos!$B$12)</f>
        <v/>
      </c>
      <c r="E412" s="35" t="str">
        <f>IF(A412="","",MIN(Datos!$B$20,C412+D412))</f>
        <v/>
      </c>
      <c r="F412" s="35" t="str">
        <f>IF(A412="","",MAX(0,E412-D412))</f>
        <v/>
      </c>
      <c r="G412" s="36">
        <v>0</v>
      </c>
      <c r="H412" s="35" t="str">
        <f>IF(A412="","",MIN(C412,F412+G412))</f>
        <v/>
      </c>
      <c r="I412" s="35" t="str">
        <f>IF(A412="","",MAX(0,C412-H412))</f>
        <v/>
      </c>
      <c r="J412" s="35" t="str">
        <f>IF(A412="","",D412+H412)</f>
        <v/>
      </c>
    </row>
    <row r="413" spans="1:10" ht="15" customHeight="1">
      <c r="A413" s="32" t="str">
        <f>IF(408&lt;=Datos!$B$13,408,"")</f>
        <v/>
      </c>
      <c r="B413" s="44" t="str">
        <f>IF(A413="","",EDATE(Datos!$B$19,A413-1))</f>
        <v/>
      </c>
      <c r="C413" s="35" t="str">
        <f>IF(A413="","",I412)</f>
        <v/>
      </c>
      <c r="D413" s="35" t="str">
        <f>IF(A413="","",C413*Datos!$B$17/Datos!$B$12)</f>
        <v/>
      </c>
      <c r="E413" s="35" t="str">
        <f>IF(A413="","",MIN(Datos!$B$20,C413+D413))</f>
        <v/>
      </c>
      <c r="F413" s="35" t="str">
        <f>IF(A413="","",MAX(0,E413-D413))</f>
        <v/>
      </c>
      <c r="G413" s="36">
        <v>0</v>
      </c>
      <c r="H413" s="35" t="str">
        <f>IF(A413="","",MIN(C413,F413+G413))</f>
        <v/>
      </c>
      <c r="I413" s="35" t="str">
        <f>IF(A413="","",MAX(0,C413-H413))</f>
        <v/>
      </c>
      <c r="J413" s="35" t="str">
        <f>IF(A413="","",D413+H413)</f>
        <v/>
      </c>
    </row>
    <row r="414" spans="1:10" ht="15" customHeight="1">
      <c r="A414" s="32" t="str">
        <f>IF(409&lt;=Datos!$B$13,409,"")</f>
        <v/>
      </c>
      <c r="B414" s="44" t="str">
        <f>IF(A414="","",EDATE(Datos!$B$19,A414-1))</f>
        <v/>
      </c>
      <c r="C414" s="35" t="str">
        <f>IF(A414="","",I413)</f>
        <v/>
      </c>
      <c r="D414" s="35" t="str">
        <f>IF(A414="","",C414*Datos!$B$17/Datos!$B$12)</f>
        <v/>
      </c>
      <c r="E414" s="35" t="str">
        <f>IF(A414="","",MIN(Datos!$B$20,C414+D414))</f>
        <v/>
      </c>
      <c r="F414" s="35" t="str">
        <f>IF(A414="","",MAX(0,E414-D414))</f>
        <v/>
      </c>
      <c r="G414" s="36">
        <v>0</v>
      </c>
      <c r="H414" s="35" t="str">
        <f>IF(A414="","",MIN(C414,F414+G414))</f>
        <v/>
      </c>
      <c r="I414" s="35" t="str">
        <f>IF(A414="","",MAX(0,C414-H414))</f>
        <v/>
      </c>
      <c r="J414" s="35" t="str">
        <f>IF(A414="","",D414+H414)</f>
        <v/>
      </c>
    </row>
    <row r="415" spans="1:10" ht="15" customHeight="1">
      <c r="A415" s="32" t="str">
        <f>IF(410&lt;=Datos!$B$13,410,"")</f>
        <v/>
      </c>
      <c r="B415" s="44" t="str">
        <f>IF(A415="","",EDATE(Datos!$B$19,A415-1))</f>
        <v/>
      </c>
      <c r="C415" s="35" t="str">
        <f>IF(A415="","",I414)</f>
        <v/>
      </c>
      <c r="D415" s="35" t="str">
        <f>IF(A415="","",C415*Datos!$B$17/Datos!$B$12)</f>
        <v/>
      </c>
      <c r="E415" s="35" t="str">
        <f>IF(A415="","",MIN(Datos!$B$20,C415+D415))</f>
        <v/>
      </c>
      <c r="F415" s="35" t="str">
        <f>IF(A415="","",MAX(0,E415-D415))</f>
        <v/>
      </c>
      <c r="G415" s="36">
        <v>0</v>
      </c>
      <c r="H415" s="35" t="str">
        <f>IF(A415="","",MIN(C415,F415+G415))</f>
        <v/>
      </c>
      <c r="I415" s="35" t="str">
        <f>IF(A415="","",MAX(0,C415-H415))</f>
        <v/>
      </c>
      <c r="J415" s="35" t="str">
        <f>IF(A415="","",D415+H415)</f>
        <v/>
      </c>
    </row>
    <row r="416" spans="1:10" ht="15" customHeight="1">
      <c r="A416" s="32" t="str">
        <f>IF(411&lt;=Datos!$B$13,411,"")</f>
        <v/>
      </c>
      <c r="B416" s="44" t="str">
        <f>IF(A416="","",EDATE(Datos!$B$19,A416-1))</f>
        <v/>
      </c>
      <c r="C416" s="35" t="str">
        <f>IF(A416="","",I415)</f>
        <v/>
      </c>
      <c r="D416" s="35" t="str">
        <f>IF(A416="","",C416*Datos!$B$17/Datos!$B$12)</f>
        <v/>
      </c>
      <c r="E416" s="35" t="str">
        <f>IF(A416="","",MIN(Datos!$B$20,C416+D416))</f>
        <v/>
      </c>
      <c r="F416" s="35" t="str">
        <f>IF(A416="","",MAX(0,E416-D416))</f>
        <v/>
      </c>
      <c r="G416" s="36">
        <v>0</v>
      </c>
      <c r="H416" s="35" t="str">
        <f>IF(A416="","",MIN(C416,F416+G416))</f>
        <v/>
      </c>
      <c r="I416" s="35" t="str">
        <f>IF(A416="","",MAX(0,C416-H416))</f>
        <v/>
      </c>
      <c r="J416" s="35" t="str">
        <f>IF(A416="","",D416+H416)</f>
        <v/>
      </c>
    </row>
    <row r="417" spans="1:10" ht="15" customHeight="1">
      <c r="A417" s="32" t="str">
        <f>IF(412&lt;=Datos!$B$13,412,"")</f>
        <v/>
      </c>
      <c r="B417" s="44" t="str">
        <f>IF(A417="","",EDATE(Datos!$B$19,A417-1))</f>
        <v/>
      </c>
      <c r="C417" s="35" t="str">
        <f>IF(A417="","",I416)</f>
        <v/>
      </c>
      <c r="D417" s="35" t="str">
        <f>IF(A417="","",C417*Datos!$B$17/Datos!$B$12)</f>
        <v/>
      </c>
      <c r="E417" s="35" t="str">
        <f>IF(A417="","",MIN(Datos!$B$20,C417+D417))</f>
        <v/>
      </c>
      <c r="F417" s="35" t="str">
        <f>IF(A417="","",MAX(0,E417-D417))</f>
        <v/>
      </c>
      <c r="G417" s="36">
        <v>0</v>
      </c>
      <c r="H417" s="35" t="str">
        <f>IF(A417="","",MIN(C417,F417+G417))</f>
        <v/>
      </c>
      <c r="I417" s="35" t="str">
        <f>IF(A417="","",MAX(0,C417-H417))</f>
        <v/>
      </c>
      <c r="J417" s="35" t="str">
        <f>IF(A417="","",D417+H417)</f>
        <v/>
      </c>
    </row>
    <row r="418" spans="1:10" ht="15" customHeight="1">
      <c r="A418" s="32" t="str">
        <f>IF(413&lt;=Datos!$B$13,413,"")</f>
        <v/>
      </c>
      <c r="B418" s="44" t="str">
        <f>IF(A418="","",EDATE(Datos!$B$19,A418-1))</f>
        <v/>
      </c>
      <c r="C418" s="35" t="str">
        <f>IF(A418="","",I417)</f>
        <v/>
      </c>
      <c r="D418" s="35" t="str">
        <f>IF(A418="","",C418*Datos!$B$17/Datos!$B$12)</f>
        <v/>
      </c>
      <c r="E418" s="35" t="str">
        <f>IF(A418="","",MIN(Datos!$B$20,C418+D418))</f>
        <v/>
      </c>
      <c r="F418" s="35" t="str">
        <f>IF(A418="","",MAX(0,E418-D418))</f>
        <v/>
      </c>
      <c r="G418" s="36">
        <v>0</v>
      </c>
      <c r="H418" s="35" t="str">
        <f>IF(A418="","",MIN(C418,F418+G418))</f>
        <v/>
      </c>
      <c r="I418" s="35" t="str">
        <f>IF(A418="","",MAX(0,C418-H418))</f>
        <v/>
      </c>
      <c r="J418" s="35" t="str">
        <f>IF(A418="","",D418+H418)</f>
        <v/>
      </c>
    </row>
    <row r="419" spans="1:10" ht="15" customHeight="1">
      <c r="A419" s="32" t="str">
        <f>IF(414&lt;=Datos!$B$13,414,"")</f>
        <v/>
      </c>
      <c r="B419" s="44" t="str">
        <f>IF(A419="","",EDATE(Datos!$B$19,A419-1))</f>
        <v/>
      </c>
      <c r="C419" s="35" t="str">
        <f>IF(A419="","",I418)</f>
        <v/>
      </c>
      <c r="D419" s="35" t="str">
        <f>IF(A419="","",C419*Datos!$B$17/Datos!$B$12)</f>
        <v/>
      </c>
      <c r="E419" s="35" t="str">
        <f>IF(A419="","",MIN(Datos!$B$20,C419+D419))</f>
        <v/>
      </c>
      <c r="F419" s="35" t="str">
        <f>IF(A419="","",MAX(0,E419-D419))</f>
        <v/>
      </c>
      <c r="G419" s="36">
        <v>0</v>
      </c>
      <c r="H419" s="35" t="str">
        <f>IF(A419="","",MIN(C419,F419+G419))</f>
        <v/>
      </c>
      <c r="I419" s="35" t="str">
        <f>IF(A419="","",MAX(0,C419-H419))</f>
        <v/>
      </c>
      <c r="J419" s="35" t="str">
        <f>IF(A419="","",D419+H419)</f>
        <v/>
      </c>
    </row>
    <row r="420" spans="1:10" ht="15" customHeight="1">
      <c r="A420" s="32" t="str">
        <f>IF(415&lt;=Datos!$B$13,415,"")</f>
        <v/>
      </c>
      <c r="B420" s="44" t="str">
        <f>IF(A420="","",EDATE(Datos!$B$19,A420-1))</f>
        <v/>
      </c>
      <c r="C420" s="35" t="str">
        <f>IF(A420="","",I419)</f>
        <v/>
      </c>
      <c r="D420" s="35" t="str">
        <f>IF(A420="","",C420*Datos!$B$17/Datos!$B$12)</f>
        <v/>
      </c>
      <c r="E420" s="35" t="str">
        <f>IF(A420="","",MIN(Datos!$B$20,C420+D420))</f>
        <v/>
      </c>
      <c r="F420" s="35" t="str">
        <f>IF(A420="","",MAX(0,E420-D420))</f>
        <v/>
      </c>
      <c r="G420" s="36">
        <v>0</v>
      </c>
      <c r="H420" s="35" t="str">
        <f>IF(A420="","",MIN(C420,F420+G420))</f>
        <v/>
      </c>
      <c r="I420" s="35" t="str">
        <f>IF(A420="","",MAX(0,C420-H420))</f>
        <v/>
      </c>
      <c r="J420" s="35" t="str">
        <f>IF(A420="","",D420+H420)</f>
        <v/>
      </c>
    </row>
    <row r="421" spans="1:10" ht="15" customHeight="1">
      <c r="A421" s="32" t="str">
        <f>IF(416&lt;=Datos!$B$13,416,"")</f>
        <v/>
      </c>
      <c r="B421" s="44" t="str">
        <f>IF(A421="","",EDATE(Datos!$B$19,A421-1))</f>
        <v/>
      </c>
      <c r="C421" s="35" t="str">
        <f>IF(A421="","",I420)</f>
        <v/>
      </c>
      <c r="D421" s="35" t="str">
        <f>IF(A421="","",C421*Datos!$B$17/Datos!$B$12)</f>
        <v/>
      </c>
      <c r="E421" s="35" t="str">
        <f>IF(A421="","",MIN(Datos!$B$20,C421+D421))</f>
        <v/>
      </c>
      <c r="F421" s="35" t="str">
        <f>IF(A421="","",MAX(0,E421-D421))</f>
        <v/>
      </c>
      <c r="G421" s="36">
        <v>0</v>
      </c>
      <c r="H421" s="35" t="str">
        <f>IF(A421="","",MIN(C421,F421+G421))</f>
        <v/>
      </c>
      <c r="I421" s="35" t="str">
        <f>IF(A421="","",MAX(0,C421-H421))</f>
        <v/>
      </c>
      <c r="J421" s="35" t="str">
        <f>IF(A421="","",D421+H421)</f>
        <v/>
      </c>
    </row>
    <row r="422" spans="1:10" ht="15" customHeight="1">
      <c r="A422" s="32" t="str">
        <f>IF(417&lt;=Datos!$B$13,417,"")</f>
        <v/>
      </c>
      <c r="B422" s="44" t="str">
        <f>IF(A422="","",EDATE(Datos!$B$19,A422-1))</f>
        <v/>
      </c>
      <c r="C422" s="35" t="str">
        <f>IF(A422="","",I421)</f>
        <v/>
      </c>
      <c r="D422" s="35" t="str">
        <f>IF(A422="","",C422*Datos!$B$17/Datos!$B$12)</f>
        <v/>
      </c>
      <c r="E422" s="35" t="str">
        <f>IF(A422="","",MIN(Datos!$B$20,C422+D422))</f>
        <v/>
      </c>
      <c r="F422" s="35" t="str">
        <f>IF(A422="","",MAX(0,E422-D422))</f>
        <v/>
      </c>
      <c r="G422" s="36">
        <v>0</v>
      </c>
      <c r="H422" s="35" t="str">
        <f>IF(A422="","",MIN(C422,F422+G422))</f>
        <v/>
      </c>
      <c r="I422" s="35" t="str">
        <f>IF(A422="","",MAX(0,C422-H422))</f>
        <v/>
      </c>
      <c r="J422" s="35" t="str">
        <f>IF(A422="","",D422+H422)</f>
        <v/>
      </c>
    </row>
    <row r="423" spans="1:10" ht="15" customHeight="1">
      <c r="A423" s="32" t="str">
        <f>IF(418&lt;=Datos!$B$13,418,"")</f>
        <v/>
      </c>
      <c r="B423" s="44" t="str">
        <f>IF(A423="","",EDATE(Datos!$B$19,A423-1))</f>
        <v/>
      </c>
      <c r="C423" s="35" t="str">
        <f>IF(A423="","",I422)</f>
        <v/>
      </c>
      <c r="D423" s="35" t="str">
        <f>IF(A423="","",C423*Datos!$B$17/Datos!$B$12)</f>
        <v/>
      </c>
      <c r="E423" s="35" t="str">
        <f>IF(A423="","",MIN(Datos!$B$20,C423+D423))</f>
        <v/>
      </c>
      <c r="F423" s="35" t="str">
        <f>IF(A423="","",MAX(0,E423-D423))</f>
        <v/>
      </c>
      <c r="G423" s="36">
        <v>0</v>
      </c>
      <c r="H423" s="35" t="str">
        <f>IF(A423="","",MIN(C423,F423+G423))</f>
        <v/>
      </c>
      <c r="I423" s="35" t="str">
        <f>IF(A423="","",MAX(0,C423-H423))</f>
        <v/>
      </c>
      <c r="J423" s="35" t="str">
        <f>IF(A423="","",D423+H423)</f>
        <v/>
      </c>
    </row>
    <row r="424" spans="1:10" ht="15" customHeight="1">
      <c r="A424" s="32" t="str">
        <f>IF(419&lt;=Datos!$B$13,419,"")</f>
        <v/>
      </c>
      <c r="B424" s="44" t="str">
        <f>IF(A424="","",EDATE(Datos!$B$19,A424-1))</f>
        <v/>
      </c>
      <c r="C424" s="35" t="str">
        <f>IF(A424="","",I423)</f>
        <v/>
      </c>
      <c r="D424" s="35" t="str">
        <f>IF(A424="","",C424*Datos!$B$17/Datos!$B$12)</f>
        <v/>
      </c>
      <c r="E424" s="35" t="str">
        <f>IF(A424="","",MIN(Datos!$B$20,C424+D424))</f>
        <v/>
      </c>
      <c r="F424" s="35" t="str">
        <f>IF(A424="","",MAX(0,E424-D424))</f>
        <v/>
      </c>
      <c r="G424" s="36">
        <v>0</v>
      </c>
      <c r="H424" s="35" t="str">
        <f>IF(A424="","",MIN(C424,F424+G424))</f>
        <v/>
      </c>
      <c r="I424" s="35" t="str">
        <f>IF(A424="","",MAX(0,C424-H424))</f>
        <v/>
      </c>
      <c r="J424" s="35" t="str">
        <f>IF(A424="","",D424+H424)</f>
        <v/>
      </c>
    </row>
    <row r="425" spans="1:10" ht="15" customHeight="1">
      <c r="A425" s="32" t="str">
        <f>IF(420&lt;=Datos!$B$13,420,"")</f>
        <v/>
      </c>
      <c r="B425" s="44" t="str">
        <f>IF(A425="","",EDATE(Datos!$B$19,A425-1))</f>
        <v/>
      </c>
      <c r="C425" s="35" t="str">
        <f>IF(A425="","",I424)</f>
        <v/>
      </c>
      <c r="D425" s="35" t="str">
        <f>IF(A425="","",C425*Datos!$B$17/Datos!$B$12)</f>
        <v/>
      </c>
      <c r="E425" s="35" t="str">
        <f>IF(A425="","",MIN(Datos!$B$20,C425+D425))</f>
        <v/>
      </c>
      <c r="F425" s="35" t="str">
        <f>IF(A425="","",MAX(0,E425-D425))</f>
        <v/>
      </c>
      <c r="G425" s="36">
        <v>0</v>
      </c>
      <c r="H425" s="35" t="str">
        <f>IF(A425="","",MIN(C425,F425+G425))</f>
        <v/>
      </c>
      <c r="I425" s="35" t="str">
        <f>IF(A425="","",MAX(0,C425-H425))</f>
        <v/>
      </c>
      <c r="J425" s="35" t="str">
        <f>IF(A425="","",D425+H425)</f>
        <v/>
      </c>
    </row>
    <row r="426" spans="1:10" ht="15" customHeight="1">
      <c r="A426" s="32" t="str">
        <f>IF(421&lt;=Datos!$B$13,421,"")</f>
        <v/>
      </c>
      <c r="B426" s="44" t="str">
        <f>IF(A426="","",EDATE(Datos!$B$19,A426-1))</f>
        <v/>
      </c>
      <c r="C426" s="35" t="str">
        <f>IF(A426="","",I425)</f>
        <v/>
      </c>
      <c r="D426" s="35" t="str">
        <f>IF(A426="","",C426*Datos!$B$17/Datos!$B$12)</f>
        <v/>
      </c>
      <c r="E426" s="35" t="str">
        <f>IF(A426="","",MIN(Datos!$B$20,C426+D426))</f>
        <v/>
      </c>
      <c r="F426" s="35" t="str">
        <f>IF(A426="","",MAX(0,E426-D426))</f>
        <v/>
      </c>
      <c r="G426" s="36">
        <v>0</v>
      </c>
      <c r="H426" s="35" t="str">
        <f>IF(A426="","",MIN(C426,F426+G426))</f>
        <v/>
      </c>
      <c r="I426" s="35" t="str">
        <f>IF(A426="","",MAX(0,C426-H426))</f>
        <v/>
      </c>
      <c r="J426" s="35" t="str">
        <f>IF(A426="","",D426+H426)</f>
        <v/>
      </c>
    </row>
    <row r="427" spans="1:10" ht="15" customHeight="1">
      <c r="A427" s="32" t="str">
        <f>IF(422&lt;=Datos!$B$13,422,"")</f>
        <v/>
      </c>
      <c r="B427" s="44" t="str">
        <f>IF(A427="","",EDATE(Datos!$B$19,A427-1))</f>
        <v/>
      </c>
      <c r="C427" s="35" t="str">
        <f>IF(A427="","",I426)</f>
        <v/>
      </c>
      <c r="D427" s="35" t="str">
        <f>IF(A427="","",C427*Datos!$B$17/Datos!$B$12)</f>
        <v/>
      </c>
      <c r="E427" s="35" t="str">
        <f>IF(A427="","",MIN(Datos!$B$20,C427+D427))</f>
        <v/>
      </c>
      <c r="F427" s="35" t="str">
        <f>IF(A427="","",MAX(0,E427-D427))</f>
        <v/>
      </c>
      <c r="G427" s="36">
        <v>0</v>
      </c>
      <c r="H427" s="35" t="str">
        <f>IF(A427="","",MIN(C427,F427+G427))</f>
        <v/>
      </c>
      <c r="I427" s="35" t="str">
        <f>IF(A427="","",MAX(0,C427-H427))</f>
        <v/>
      </c>
      <c r="J427" s="35" t="str">
        <f>IF(A427="","",D427+H427)</f>
        <v/>
      </c>
    </row>
    <row r="428" spans="1:10" ht="15" customHeight="1">
      <c r="A428" s="32" t="str">
        <f>IF(423&lt;=Datos!$B$13,423,"")</f>
        <v/>
      </c>
      <c r="B428" s="44" t="str">
        <f>IF(A428="","",EDATE(Datos!$B$19,A428-1))</f>
        <v/>
      </c>
      <c r="C428" s="35" t="str">
        <f>IF(A428="","",I427)</f>
        <v/>
      </c>
      <c r="D428" s="35" t="str">
        <f>IF(A428="","",C428*Datos!$B$17/Datos!$B$12)</f>
        <v/>
      </c>
      <c r="E428" s="35" t="str">
        <f>IF(A428="","",MIN(Datos!$B$20,C428+D428))</f>
        <v/>
      </c>
      <c r="F428" s="35" t="str">
        <f>IF(A428="","",MAX(0,E428-D428))</f>
        <v/>
      </c>
      <c r="G428" s="36">
        <v>0</v>
      </c>
      <c r="H428" s="35" t="str">
        <f>IF(A428="","",MIN(C428,F428+G428))</f>
        <v/>
      </c>
      <c r="I428" s="35" t="str">
        <f>IF(A428="","",MAX(0,C428-H428))</f>
        <v/>
      </c>
      <c r="J428" s="35" t="str">
        <f>IF(A428="","",D428+H428)</f>
        <v/>
      </c>
    </row>
    <row r="429" spans="1:10" ht="15" customHeight="1">
      <c r="A429" s="32" t="str">
        <f>IF(424&lt;=Datos!$B$13,424,"")</f>
        <v/>
      </c>
      <c r="B429" s="44" t="str">
        <f>IF(A429="","",EDATE(Datos!$B$19,A429-1))</f>
        <v/>
      </c>
      <c r="C429" s="35" t="str">
        <f>IF(A429="","",I428)</f>
        <v/>
      </c>
      <c r="D429" s="35" t="str">
        <f>IF(A429="","",C429*Datos!$B$17/Datos!$B$12)</f>
        <v/>
      </c>
      <c r="E429" s="35" t="str">
        <f>IF(A429="","",MIN(Datos!$B$20,C429+D429))</f>
        <v/>
      </c>
      <c r="F429" s="35" t="str">
        <f>IF(A429="","",MAX(0,E429-D429))</f>
        <v/>
      </c>
      <c r="G429" s="36">
        <v>0</v>
      </c>
      <c r="H429" s="35" t="str">
        <f>IF(A429="","",MIN(C429,F429+G429))</f>
        <v/>
      </c>
      <c r="I429" s="35" t="str">
        <f>IF(A429="","",MAX(0,C429-H429))</f>
        <v/>
      </c>
      <c r="J429" s="35" t="str">
        <f>IF(A429="","",D429+H429)</f>
        <v/>
      </c>
    </row>
    <row r="430" spans="1:10" ht="15" customHeight="1">
      <c r="A430" s="32" t="str">
        <f>IF(425&lt;=Datos!$B$13,425,"")</f>
        <v/>
      </c>
      <c r="B430" s="44" t="str">
        <f>IF(A430="","",EDATE(Datos!$B$19,A430-1))</f>
        <v/>
      </c>
      <c r="C430" s="35" t="str">
        <f>IF(A430="","",I429)</f>
        <v/>
      </c>
      <c r="D430" s="35" t="str">
        <f>IF(A430="","",C430*Datos!$B$17/Datos!$B$12)</f>
        <v/>
      </c>
      <c r="E430" s="35" t="str">
        <f>IF(A430="","",MIN(Datos!$B$20,C430+D430))</f>
        <v/>
      </c>
      <c r="F430" s="35" t="str">
        <f>IF(A430="","",MAX(0,E430-D430))</f>
        <v/>
      </c>
      <c r="G430" s="36">
        <v>0</v>
      </c>
      <c r="H430" s="35" t="str">
        <f>IF(A430="","",MIN(C430,F430+G430))</f>
        <v/>
      </c>
      <c r="I430" s="35" t="str">
        <f>IF(A430="","",MAX(0,C430-H430))</f>
        <v/>
      </c>
      <c r="J430" s="35" t="str">
        <f>IF(A430="","",D430+H430)</f>
        <v/>
      </c>
    </row>
    <row r="431" spans="1:10" ht="15" customHeight="1">
      <c r="A431" s="32" t="str">
        <f>IF(426&lt;=Datos!$B$13,426,"")</f>
        <v/>
      </c>
      <c r="B431" s="44" t="str">
        <f>IF(A431="","",EDATE(Datos!$B$19,A431-1))</f>
        <v/>
      </c>
      <c r="C431" s="35" t="str">
        <f>IF(A431="","",I430)</f>
        <v/>
      </c>
      <c r="D431" s="35" t="str">
        <f>IF(A431="","",C431*Datos!$B$17/Datos!$B$12)</f>
        <v/>
      </c>
      <c r="E431" s="35" t="str">
        <f>IF(A431="","",MIN(Datos!$B$20,C431+D431))</f>
        <v/>
      </c>
      <c r="F431" s="35" t="str">
        <f>IF(A431="","",MAX(0,E431-D431))</f>
        <v/>
      </c>
      <c r="G431" s="36">
        <v>0</v>
      </c>
      <c r="H431" s="35" t="str">
        <f>IF(A431="","",MIN(C431,F431+G431))</f>
        <v/>
      </c>
      <c r="I431" s="35" t="str">
        <f>IF(A431="","",MAX(0,C431-H431))</f>
        <v/>
      </c>
      <c r="J431" s="35" t="str">
        <f>IF(A431="","",D431+H431)</f>
        <v/>
      </c>
    </row>
    <row r="432" spans="1:10" ht="15" customHeight="1">
      <c r="A432" s="32" t="str">
        <f>IF(427&lt;=Datos!$B$13,427,"")</f>
        <v/>
      </c>
      <c r="B432" s="44" t="str">
        <f>IF(A432="","",EDATE(Datos!$B$19,A432-1))</f>
        <v/>
      </c>
      <c r="C432" s="35" t="str">
        <f>IF(A432="","",I431)</f>
        <v/>
      </c>
      <c r="D432" s="35" t="str">
        <f>IF(A432="","",C432*Datos!$B$17/Datos!$B$12)</f>
        <v/>
      </c>
      <c r="E432" s="35" t="str">
        <f>IF(A432="","",MIN(Datos!$B$20,C432+D432))</f>
        <v/>
      </c>
      <c r="F432" s="35" t="str">
        <f>IF(A432="","",MAX(0,E432-D432))</f>
        <v/>
      </c>
      <c r="G432" s="36">
        <v>0</v>
      </c>
      <c r="H432" s="35" t="str">
        <f>IF(A432="","",MIN(C432,F432+G432))</f>
        <v/>
      </c>
      <c r="I432" s="35" t="str">
        <f>IF(A432="","",MAX(0,C432-H432))</f>
        <v/>
      </c>
      <c r="J432" s="35" t="str">
        <f>IF(A432="","",D432+H432)</f>
        <v/>
      </c>
    </row>
    <row r="433" spans="1:10" ht="15" customHeight="1">
      <c r="A433" s="32" t="str">
        <f>IF(428&lt;=Datos!$B$13,428,"")</f>
        <v/>
      </c>
      <c r="B433" s="44" t="str">
        <f>IF(A433="","",EDATE(Datos!$B$19,A433-1))</f>
        <v/>
      </c>
      <c r="C433" s="35" t="str">
        <f>IF(A433="","",I432)</f>
        <v/>
      </c>
      <c r="D433" s="35" t="str">
        <f>IF(A433="","",C433*Datos!$B$17/Datos!$B$12)</f>
        <v/>
      </c>
      <c r="E433" s="35" t="str">
        <f>IF(A433="","",MIN(Datos!$B$20,C433+D433))</f>
        <v/>
      </c>
      <c r="F433" s="35" t="str">
        <f>IF(A433="","",MAX(0,E433-D433))</f>
        <v/>
      </c>
      <c r="G433" s="36">
        <v>0</v>
      </c>
      <c r="H433" s="35" t="str">
        <f>IF(A433="","",MIN(C433,F433+G433))</f>
        <v/>
      </c>
      <c r="I433" s="35" t="str">
        <f>IF(A433="","",MAX(0,C433-H433))</f>
        <v/>
      </c>
      <c r="J433" s="35" t="str">
        <f>IF(A433="","",D433+H433)</f>
        <v/>
      </c>
    </row>
    <row r="434" spans="1:10" ht="15" customHeight="1">
      <c r="A434" s="32" t="str">
        <f>IF(429&lt;=Datos!$B$13,429,"")</f>
        <v/>
      </c>
      <c r="B434" s="44" t="str">
        <f>IF(A434="","",EDATE(Datos!$B$19,A434-1))</f>
        <v/>
      </c>
      <c r="C434" s="35" t="str">
        <f>IF(A434="","",I433)</f>
        <v/>
      </c>
      <c r="D434" s="35" t="str">
        <f>IF(A434="","",C434*Datos!$B$17/Datos!$B$12)</f>
        <v/>
      </c>
      <c r="E434" s="35" t="str">
        <f>IF(A434="","",MIN(Datos!$B$20,C434+D434))</f>
        <v/>
      </c>
      <c r="F434" s="35" t="str">
        <f>IF(A434="","",MAX(0,E434-D434))</f>
        <v/>
      </c>
      <c r="G434" s="36">
        <v>0</v>
      </c>
      <c r="H434" s="35" t="str">
        <f>IF(A434="","",MIN(C434,F434+G434))</f>
        <v/>
      </c>
      <c r="I434" s="35" t="str">
        <f>IF(A434="","",MAX(0,C434-H434))</f>
        <v/>
      </c>
      <c r="J434" s="35" t="str">
        <f>IF(A434="","",D434+H434)</f>
        <v/>
      </c>
    </row>
    <row r="435" spans="1:10" ht="15" customHeight="1">
      <c r="A435" s="32" t="str">
        <f>IF(430&lt;=Datos!$B$13,430,"")</f>
        <v/>
      </c>
      <c r="B435" s="44" t="str">
        <f>IF(A435="","",EDATE(Datos!$B$19,A435-1))</f>
        <v/>
      </c>
      <c r="C435" s="35" t="str">
        <f>IF(A435="","",I434)</f>
        <v/>
      </c>
      <c r="D435" s="35" t="str">
        <f>IF(A435="","",C435*Datos!$B$17/Datos!$B$12)</f>
        <v/>
      </c>
      <c r="E435" s="35" t="str">
        <f>IF(A435="","",MIN(Datos!$B$20,C435+D435))</f>
        <v/>
      </c>
      <c r="F435" s="35" t="str">
        <f>IF(A435="","",MAX(0,E435-D435))</f>
        <v/>
      </c>
      <c r="G435" s="36">
        <v>0</v>
      </c>
      <c r="H435" s="35" t="str">
        <f>IF(A435="","",MIN(C435,F435+G435))</f>
        <v/>
      </c>
      <c r="I435" s="35" t="str">
        <f>IF(A435="","",MAX(0,C435-H435))</f>
        <v/>
      </c>
      <c r="J435" s="35" t="str">
        <f>IF(A435="","",D435+H435)</f>
        <v/>
      </c>
    </row>
    <row r="436" spans="1:10" ht="15" customHeight="1">
      <c r="A436" s="32" t="str">
        <f>IF(431&lt;=Datos!$B$13,431,"")</f>
        <v/>
      </c>
      <c r="B436" s="44" t="str">
        <f>IF(A436="","",EDATE(Datos!$B$19,A436-1))</f>
        <v/>
      </c>
      <c r="C436" s="35" t="str">
        <f>IF(A436="","",I435)</f>
        <v/>
      </c>
      <c r="D436" s="35" t="str">
        <f>IF(A436="","",C436*Datos!$B$17/Datos!$B$12)</f>
        <v/>
      </c>
      <c r="E436" s="35" t="str">
        <f>IF(A436="","",MIN(Datos!$B$20,C436+D436))</f>
        <v/>
      </c>
      <c r="F436" s="35" t="str">
        <f>IF(A436="","",MAX(0,E436-D436))</f>
        <v/>
      </c>
      <c r="G436" s="36">
        <v>0</v>
      </c>
      <c r="H436" s="35" t="str">
        <f>IF(A436="","",MIN(C436,F436+G436))</f>
        <v/>
      </c>
      <c r="I436" s="35" t="str">
        <f>IF(A436="","",MAX(0,C436-H436))</f>
        <v/>
      </c>
      <c r="J436" s="35" t="str">
        <f>IF(A436="","",D436+H436)</f>
        <v/>
      </c>
    </row>
    <row r="437" spans="1:10" ht="15" customHeight="1">
      <c r="A437" s="32" t="str">
        <f>IF(432&lt;=Datos!$B$13,432,"")</f>
        <v/>
      </c>
      <c r="B437" s="44" t="str">
        <f>IF(A437="","",EDATE(Datos!$B$19,A437-1))</f>
        <v/>
      </c>
      <c r="C437" s="35" t="str">
        <f>IF(A437="","",I436)</f>
        <v/>
      </c>
      <c r="D437" s="35" t="str">
        <f>IF(A437="","",C437*Datos!$B$17/Datos!$B$12)</f>
        <v/>
      </c>
      <c r="E437" s="35" t="str">
        <f>IF(A437="","",MIN(Datos!$B$20,C437+D437))</f>
        <v/>
      </c>
      <c r="F437" s="35" t="str">
        <f>IF(A437="","",MAX(0,E437-D437))</f>
        <v/>
      </c>
      <c r="G437" s="36">
        <v>0</v>
      </c>
      <c r="H437" s="35" t="str">
        <f>IF(A437="","",MIN(C437,F437+G437))</f>
        <v/>
      </c>
      <c r="I437" s="35" t="str">
        <f>IF(A437="","",MAX(0,C437-H437))</f>
        <v/>
      </c>
      <c r="J437" s="35" t="str">
        <f>IF(A437="","",D437+H437)</f>
        <v/>
      </c>
    </row>
    <row r="438" spans="1:10" ht="15" customHeight="1">
      <c r="A438" s="32" t="str">
        <f>IF(433&lt;=Datos!$B$13,433,"")</f>
        <v/>
      </c>
      <c r="B438" s="44" t="str">
        <f>IF(A438="","",EDATE(Datos!$B$19,A438-1))</f>
        <v/>
      </c>
      <c r="C438" s="35" t="str">
        <f>IF(A438="","",I437)</f>
        <v/>
      </c>
      <c r="D438" s="35" t="str">
        <f>IF(A438="","",C438*Datos!$B$17/Datos!$B$12)</f>
        <v/>
      </c>
      <c r="E438" s="35" t="str">
        <f>IF(A438="","",MIN(Datos!$B$20,C438+D438))</f>
        <v/>
      </c>
      <c r="F438" s="35" t="str">
        <f>IF(A438="","",MAX(0,E438-D438))</f>
        <v/>
      </c>
      <c r="G438" s="36">
        <v>0</v>
      </c>
      <c r="H438" s="35" t="str">
        <f>IF(A438="","",MIN(C438,F438+G438))</f>
        <v/>
      </c>
      <c r="I438" s="35" t="str">
        <f>IF(A438="","",MAX(0,C438-H438))</f>
        <v/>
      </c>
      <c r="J438" s="35" t="str">
        <f>IF(A438="","",D438+H438)</f>
        <v/>
      </c>
    </row>
    <row r="439" spans="1:10" ht="15" customHeight="1">
      <c r="A439" s="32" t="str">
        <f>IF(434&lt;=Datos!$B$13,434,"")</f>
        <v/>
      </c>
      <c r="B439" s="44" t="str">
        <f>IF(A439="","",EDATE(Datos!$B$19,A439-1))</f>
        <v/>
      </c>
      <c r="C439" s="35" t="str">
        <f>IF(A439="","",I438)</f>
        <v/>
      </c>
      <c r="D439" s="35" t="str">
        <f>IF(A439="","",C439*Datos!$B$17/Datos!$B$12)</f>
        <v/>
      </c>
      <c r="E439" s="35" t="str">
        <f>IF(A439="","",MIN(Datos!$B$20,C439+D439))</f>
        <v/>
      </c>
      <c r="F439" s="35" t="str">
        <f>IF(A439="","",MAX(0,E439-D439))</f>
        <v/>
      </c>
      <c r="G439" s="36">
        <v>0</v>
      </c>
      <c r="H439" s="35" t="str">
        <f>IF(A439="","",MIN(C439,F439+G439))</f>
        <v/>
      </c>
      <c r="I439" s="35" t="str">
        <f>IF(A439="","",MAX(0,C439-H439))</f>
        <v/>
      </c>
      <c r="J439" s="35" t="str">
        <f>IF(A439="","",D439+H439)</f>
        <v/>
      </c>
    </row>
    <row r="440" spans="1:10" ht="15" customHeight="1">
      <c r="A440" s="32" t="str">
        <f>IF(435&lt;=Datos!$B$13,435,"")</f>
        <v/>
      </c>
      <c r="B440" s="44" t="str">
        <f>IF(A440="","",EDATE(Datos!$B$19,A440-1))</f>
        <v/>
      </c>
      <c r="C440" s="35" t="str">
        <f>IF(A440="","",I439)</f>
        <v/>
      </c>
      <c r="D440" s="35" t="str">
        <f>IF(A440="","",C440*Datos!$B$17/Datos!$B$12)</f>
        <v/>
      </c>
      <c r="E440" s="35" t="str">
        <f>IF(A440="","",MIN(Datos!$B$20,C440+D440))</f>
        <v/>
      </c>
      <c r="F440" s="35" t="str">
        <f>IF(A440="","",MAX(0,E440-D440))</f>
        <v/>
      </c>
      <c r="G440" s="36">
        <v>0</v>
      </c>
      <c r="H440" s="35" t="str">
        <f>IF(A440="","",MIN(C440,F440+G440))</f>
        <v/>
      </c>
      <c r="I440" s="35" t="str">
        <f>IF(A440="","",MAX(0,C440-H440))</f>
        <v/>
      </c>
      <c r="J440" s="35" t="str">
        <f>IF(A440="","",D440+H440)</f>
        <v/>
      </c>
    </row>
    <row r="441" spans="1:10" ht="15" customHeight="1">
      <c r="A441" s="32" t="str">
        <f>IF(436&lt;=Datos!$B$13,436,"")</f>
        <v/>
      </c>
      <c r="B441" s="44" t="str">
        <f>IF(A441="","",EDATE(Datos!$B$19,A441-1))</f>
        <v/>
      </c>
      <c r="C441" s="35" t="str">
        <f>IF(A441="","",I440)</f>
        <v/>
      </c>
      <c r="D441" s="35" t="str">
        <f>IF(A441="","",C441*Datos!$B$17/Datos!$B$12)</f>
        <v/>
      </c>
      <c r="E441" s="35" t="str">
        <f>IF(A441="","",MIN(Datos!$B$20,C441+D441))</f>
        <v/>
      </c>
      <c r="F441" s="35" t="str">
        <f>IF(A441="","",MAX(0,E441-D441))</f>
        <v/>
      </c>
      <c r="G441" s="36">
        <v>0</v>
      </c>
      <c r="H441" s="35" t="str">
        <f>IF(A441="","",MIN(C441,F441+G441))</f>
        <v/>
      </c>
      <c r="I441" s="35" t="str">
        <f>IF(A441="","",MAX(0,C441-H441))</f>
        <v/>
      </c>
      <c r="J441" s="35" t="str">
        <f>IF(A441="","",D441+H441)</f>
        <v/>
      </c>
    </row>
    <row r="442" spans="1:10" ht="15" customHeight="1">
      <c r="A442" s="32" t="str">
        <f>IF(437&lt;=Datos!$B$13,437,"")</f>
        <v/>
      </c>
      <c r="B442" s="44" t="str">
        <f>IF(A442="","",EDATE(Datos!$B$19,A442-1))</f>
        <v/>
      </c>
      <c r="C442" s="35" t="str">
        <f>IF(A442="","",I441)</f>
        <v/>
      </c>
      <c r="D442" s="35" t="str">
        <f>IF(A442="","",C442*Datos!$B$17/Datos!$B$12)</f>
        <v/>
      </c>
      <c r="E442" s="35" t="str">
        <f>IF(A442="","",MIN(Datos!$B$20,C442+D442))</f>
        <v/>
      </c>
      <c r="F442" s="35" t="str">
        <f>IF(A442="","",MAX(0,E442-D442))</f>
        <v/>
      </c>
      <c r="G442" s="36">
        <v>0</v>
      </c>
      <c r="H442" s="35" t="str">
        <f>IF(A442="","",MIN(C442,F442+G442))</f>
        <v/>
      </c>
      <c r="I442" s="35" t="str">
        <f>IF(A442="","",MAX(0,C442-H442))</f>
        <v/>
      </c>
      <c r="J442" s="35" t="str">
        <f>IF(A442="","",D442+H442)</f>
        <v/>
      </c>
    </row>
    <row r="443" spans="1:10" ht="15" customHeight="1">
      <c r="A443" s="32" t="str">
        <f>IF(438&lt;=Datos!$B$13,438,"")</f>
        <v/>
      </c>
      <c r="B443" s="44" t="str">
        <f>IF(A443="","",EDATE(Datos!$B$19,A443-1))</f>
        <v/>
      </c>
      <c r="C443" s="35" t="str">
        <f>IF(A443="","",I442)</f>
        <v/>
      </c>
      <c r="D443" s="35" t="str">
        <f>IF(A443="","",C443*Datos!$B$17/Datos!$B$12)</f>
        <v/>
      </c>
      <c r="E443" s="35" t="str">
        <f>IF(A443="","",MIN(Datos!$B$20,C443+D443))</f>
        <v/>
      </c>
      <c r="F443" s="35" t="str">
        <f>IF(A443="","",MAX(0,E443-D443))</f>
        <v/>
      </c>
      <c r="G443" s="36">
        <v>0</v>
      </c>
      <c r="H443" s="35" t="str">
        <f>IF(A443="","",MIN(C443,F443+G443))</f>
        <v/>
      </c>
      <c r="I443" s="35" t="str">
        <f>IF(A443="","",MAX(0,C443-H443))</f>
        <v/>
      </c>
      <c r="J443" s="35" t="str">
        <f>IF(A443="","",D443+H443)</f>
        <v/>
      </c>
    </row>
    <row r="444" spans="1:10" ht="15" customHeight="1">
      <c r="A444" s="32" t="str">
        <f>IF(439&lt;=Datos!$B$13,439,"")</f>
        <v/>
      </c>
      <c r="B444" s="44" t="str">
        <f>IF(A444="","",EDATE(Datos!$B$19,A444-1))</f>
        <v/>
      </c>
      <c r="C444" s="35" t="str">
        <f>IF(A444="","",I443)</f>
        <v/>
      </c>
      <c r="D444" s="35" t="str">
        <f>IF(A444="","",C444*Datos!$B$17/Datos!$B$12)</f>
        <v/>
      </c>
      <c r="E444" s="35" t="str">
        <f>IF(A444="","",MIN(Datos!$B$20,C444+D444))</f>
        <v/>
      </c>
      <c r="F444" s="35" t="str">
        <f>IF(A444="","",MAX(0,E444-D444))</f>
        <v/>
      </c>
      <c r="G444" s="36">
        <v>0</v>
      </c>
      <c r="H444" s="35" t="str">
        <f>IF(A444="","",MIN(C444,F444+G444))</f>
        <v/>
      </c>
      <c r="I444" s="35" t="str">
        <f>IF(A444="","",MAX(0,C444-H444))</f>
        <v/>
      </c>
      <c r="J444" s="35" t="str">
        <f>IF(A444="","",D444+H444)</f>
        <v/>
      </c>
    </row>
    <row r="445" spans="1:10" ht="15" customHeight="1">
      <c r="A445" s="32" t="str">
        <f>IF(440&lt;=Datos!$B$13,440,"")</f>
        <v/>
      </c>
      <c r="B445" s="44" t="str">
        <f>IF(A445="","",EDATE(Datos!$B$19,A445-1))</f>
        <v/>
      </c>
      <c r="C445" s="35" t="str">
        <f>IF(A445="","",I444)</f>
        <v/>
      </c>
      <c r="D445" s="35" t="str">
        <f>IF(A445="","",C445*Datos!$B$17/Datos!$B$12)</f>
        <v/>
      </c>
      <c r="E445" s="35" t="str">
        <f>IF(A445="","",MIN(Datos!$B$20,C445+D445))</f>
        <v/>
      </c>
      <c r="F445" s="35" t="str">
        <f>IF(A445="","",MAX(0,E445-D445))</f>
        <v/>
      </c>
      <c r="G445" s="36">
        <v>0</v>
      </c>
      <c r="H445" s="35" t="str">
        <f>IF(A445="","",MIN(C445,F445+G445))</f>
        <v/>
      </c>
      <c r="I445" s="35" t="str">
        <f>IF(A445="","",MAX(0,C445-H445))</f>
        <v/>
      </c>
      <c r="J445" s="35" t="str">
        <f>IF(A445="","",D445+H445)</f>
        <v/>
      </c>
    </row>
    <row r="446" spans="1:10" ht="15" customHeight="1">
      <c r="A446" s="32" t="str">
        <f>IF(441&lt;=Datos!$B$13,441,"")</f>
        <v/>
      </c>
      <c r="B446" s="44" t="str">
        <f>IF(A446="","",EDATE(Datos!$B$19,A446-1))</f>
        <v/>
      </c>
      <c r="C446" s="35" t="str">
        <f>IF(A446="","",I445)</f>
        <v/>
      </c>
      <c r="D446" s="35" t="str">
        <f>IF(A446="","",C446*Datos!$B$17/Datos!$B$12)</f>
        <v/>
      </c>
      <c r="E446" s="35" t="str">
        <f>IF(A446="","",MIN(Datos!$B$20,C446+D446))</f>
        <v/>
      </c>
      <c r="F446" s="35" t="str">
        <f>IF(A446="","",MAX(0,E446-D446))</f>
        <v/>
      </c>
      <c r="G446" s="36">
        <v>0</v>
      </c>
      <c r="H446" s="35" t="str">
        <f>IF(A446="","",MIN(C446,F446+G446))</f>
        <v/>
      </c>
      <c r="I446" s="35" t="str">
        <f>IF(A446="","",MAX(0,C446-H446))</f>
        <v/>
      </c>
      <c r="J446" s="35" t="str">
        <f>IF(A446="","",D446+H446)</f>
        <v/>
      </c>
    </row>
    <row r="447" spans="1:10" ht="15" customHeight="1">
      <c r="A447" s="32" t="str">
        <f>IF(442&lt;=Datos!$B$13,442,"")</f>
        <v/>
      </c>
      <c r="B447" s="44" t="str">
        <f>IF(A447="","",EDATE(Datos!$B$19,A447-1))</f>
        <v/>
      </c>
      <c r="C447" s="35" t="str">
        <f>IF(A447="","",I446)</f>
        <v/>
      </c>
      <c r="D447" s="35" t="str">
        <f>IF(A447="","",C447*Datos!$B$17/Datos!$B$12)</f>
        <v/>
      </c>
      <c r="E447" s="35" t="str">
        <f>IF(A447="","",MIN(Datos!$B$20,C447+D447))</f>
        <v/>
      </c>
      <c r="F447" s="35" t="str">
        <f>IF(A447="","",MAX(0,E447-D447))</f>
        <v/>
      </c>
      <c r="G447" s="36">
        <v>0</v>
      </c>
      <c r="H447" s="35" t="str">
        <f>IF(A447="","",MIN(C447,F447+G447))</f>
        <v/>
      </c>
      <c r="I447" s="35" t="str">
        <f>IF(A447="","",MAX(0,C447-H447))</f>
        <v/>
      </c>
      <c r="J447" s="35" t="str">
        <f>IF(A447="","",D447+H447)</f>
        <v/>
      </c>
    </row>
    <row r="448" spans="1:10" ht="15" customHeight="1">
      <c r="A448" s="32" t="str">
        <f>IF(443&lt;=Datos!$B$13,443,"")</f>
        <v/>
      </c>
      <c r="B448" s="44" t="str">
        <f>IF(A448="","",EDATE(Datos!$B$19,A448-1))</f>
        <v/>
      </c>
      <c r="C448" s="35" t="str">
        <f>IF(A448="","",I447)</f>
        <v/>
      </c>
      <c r="D448" s="35" t="str">
        <f>IF(A448="","",C448*Datos!$B$17/Datos!$B$12)</f>
        <v/>
      </c>
      <c r="E448" s="35" t="str">
        <f>IF(A448="","",MIN(Datos!$B$20,C448+D448))</f>
        <v/>
      </c>
      <c r="F448" s="35" t="str">
        <f>IF(A448="","",MAX(0,E448-D448))</f>
        <v/>
      </c>
      <c r="G448" s="36">
        <v>0</v>
      </c>
      <c r="H448" s="35" t="str">
        <f>IF(A448="","",MIN(C448,F448+G448))</f>
        <v/>
      </c>
      <c r="I448" s="35" t="str">
        <f>IF(A448="","",MAX(0,C448-H448))</f>
        <v/>
      </c>
      <c r="J448" s="35" t="str">
        <f>IF(A448="","",D448+H448)</f>
        <v/>
      </c>
    </row>
    <row r="449" spans="1:10" ht="15" customHeight="1">
      <c r="A449" s="32" t="str">
        <f>IF(444&lt;=Datos!$B$13,444,"")</f>
        <v/>
      </c>
      <c r="B449" s="44" t="str">
        <f>IF(A449="","",EDATE(Datos!$B$19,A449-1))</f>
        <v/>
      </c>
      <c r="C449" s="35" t="str">
        <f>IF(A449="","",I448)</f>
        <v/>
      </c>
      <c r="D449" s="35" t="str">
        <f>IF(A449="","",C449*Datos!$B$17/Datos!$B$12)</f>
        <v/>
      </c>
      <c r="E449" s="35" t="str">
        <f>IF(A449="","",MIN(Datos!$B$20,C449+D449))</f>
        <v/>
      </c>
      <c r="F449" s="35" t="str">
        <f>IF(A449="","",MAX(0,E449-D449))</f>
        <v/>
      </c>
      <c r="G449" s="36">
        <v>0</v>
      </c>
      <c r="H449" s="35" t="str">
        <f>IF(A449="","",MIN(C449,F449+G449))</f>
        <v/>
      </c>
      <c r="I449" s="35" t="str">
        <f>IF(A449="","",MAX(0,C449-H449))</f>
        <v/>
      </c>
      <c r="J449" s="35" t="str">
        <f>IF(A449="","",D449+H449)</f>
        <v/>
      </c>
    </row>
    <row r="450" spans="1:10" ht="15" customHeight="1">
      <c r="A450" s="32" t="str">
        <f>IF(445&lt;=Datos!$B$13,445,"")</f>
        <v/>
      </c>
      <c r="B450" s="44" t="str">
        <f>IF(A450="","",EDATE(Datos!$B$19,A450-1))</f>
        <v/>
      </c>
      <c r="C450" s="35" t="str">
        <f>IF(A450="","",I449)</f>
        <v/>
      </c>
      <c r="D450" s="35" t="str">
        <f>IF(A450="","",C450*Datos!$B$17/Datos!$B$12)</f>
        <v/>
      </c>
      <c r="E450" s="35" t="str">
        <f>IF(A450="","",MIN(Datos!$B$20,C450+D450))</f>
        <v/>
      </c>
      <c r="F450" s="35" t="str">
        <f>IF(A450="","",MAX(0,E450-D450))</f>
        <v/>
      </c>
      <c r="G450" s="36">
        <v>0</v>
      </c>
      <c r="H450" s="35" t="str">
        <f>IF(A450="","",MIN(C450,F450+G450))</f>
        <v/>
      </c>
      <c r="I450" s="35" t="str">
        <f>IF(A450="","",MAX(0,C450-H450))</f>
        <v/>
      </c>
      <c r="J450" s="35" t="str">
        <f>IF(A450="","",D450+H450)</f>
        <v/>
      </c>
    </row>
    <row r="451" spans="1:10" ht="15" customHeight="1">
      <c r="A451" s="32" t="str">
        <f>IF(446&lt;=Datos!$B$13,446,"")</f>
        <v/>
      </c>
      <c r="B451" s="44" t="str">
        <f>IF(A451="","",EDATE(Datos!$B$19,A451-1))</f>
        <v/>
      </c>
      <c r="C451" s="35" t="str">
        <f>IF(A451="","",I450)</f>
        <v/>
      </c>
      <c r="D451" s="35" t="str">
        <f>IF(A451="","",C451*Datos!$B$17/Datos!$B$12)</f>
        <v/>
      </c>
      <c r="E451" s="35" t="str">
        <f>IF(A451="","",MIN(Datos!$B$20,C451+D451))</f>
        <v/>
      </c>
      <c r="F451" s="35" t="str">
        <f>IF(A451="","",MAX(0,E451-D451))</f>
        <v/>
      </c>
      <c r="G451" s="36">
        <v>0</v>
      </c>
      <c r="H451" s="35" t="str">
        <f>IF(A451="","",MIN(C451,F451+G451))</f>
        <v/>
      </c>
      <c r="I451" s="35" t="str">
        <f>IF(A451="","",MAX(0,C451-H451))</f>
        <v/>
      </c>
      <c r="J451" s="35" t="str">
        <f>IF(A451="","",D451+H451)</f>
        <v/>
      </c>
    </row>
    <row r="452" spans="1:10" ht="15" customHeight="1">
      <c r="A452" s="32" t="str">
        <f>IF(447&lt;=Datos!$B$13,447,"")</f>
        <v/>
      </c>
      <c r="B452" s="44" t="str">
        <f>IF(A452="","",EDATE(Datos!$B$19,A452-1))</f>
        <v/>
      </c>
      <c r="C452" s="35" t="str">
        <f>IF(A452="","",I451)</f>
        <v/>
      </c>
      <c r="D452" s="35" t="str">
        <f>IF(A452="","",C452*Datos!$B$17/Datos!$B$12)</f>
        <v/>
      </c>
      <c r="E452" s="35" t="str">
        <f>IF(A452="","",MIN(Datos!$B$20,C452+D452))</f>
        <v/>
      </c>
      <c r="F452" s="35" t="str">
        <f>IF(A452="","",MAX(0,E452-D452))</f>
        <v/>
      </c>
      <c r="G452" s="36">
        <v>0</v>
      </c>
      <c r="H452" s="35" t="str">
        <f>IF(A452="","",MIN(C452,F452+G452))</f>
        <v/>
      </c>
      <c r="I452" s="35" t="str">
        <f>IF(A452="","",MAX(0,C452-H452))</f>
        <v/>
      </c>
      <c r="J452" s="35" t="str">
        <f>IF(A452="","",D452+H452)</f>
        <v/>
      </c>
    </row>
    <row r="453" spans="1:10" ht="15" customHeight="1">
      <c r="A453" s="32" t="str">
        <f>IF(448&lt;=Datos!$B$13,448,"")</f>
        <v/>
      </c>
      <c r="B453" s="44" t="str">
        <f>IF(A453="","",EDATE(Datos!$B$19,A453-1))</f>
        <v/>
      </c>
      <c r="C453" s="35" t="str">
        <f>IF(A453="","",I452)</f>
        <v/>
      </c>
      <c r="D453" s="35" t="str">
        <f>IF(A453="","",C453*Datos!$B$17/Datos!$B$12)</f>
        <v/>
      </c>
      <c r="E453" s="35" t="str">
        <f>IF(A453="","",MIN(Datos!$B$20,C453+D453))</f>
        <v/>
      </c>
      <c r="F453" s="35" t="str">
        <f>IF(A453="","",MAX(0,E453-D453))</f>
        <v/>
      </c>
      <c r="G453" s="36">
        <v>0</v>
      </c>
      <c r="H453" s="35" t="str">
        <f>IF(A453="","",MIN(C453,F453+G453))</f>
        <v/>
      </c>
      <c r="I453" s="35" t="str">
        <f>IF(A453="","",MAX(0,C453-H453))</f>
        <v/>
      </c>
      <c r="J453" s="35" t="str">
        <f>IF(A453="","",D453+H453)</f>
        <v/>
      </c>
    </row>
    <row r="454" spans="1:10" ht="15" customHeight="1">
      <c r="A454" s="32" t="str">
        <f>IF(449&lt;=Datos!$B$13,449,"")</f>
        <v/>
      </c>
      <c r="B454" s="44" t="str">
        <f>IF(A454="","",EDATE(Datos!$B$19,A454-1))</f>
        <v/>
      </c>
      <c r="C454" s="35" t="str">
        <f>IF(A454="","",I453)</f>
        <v/>
      </c>
      <c r="D454" s="35" t="str">
        <f>IF(A454="","",C454*Datos!$B$17/Datos!$B$12)</f>
        <v/>
      </c>
      <c r="E454" s="35" t="str">
        <f>IF(A454="","",MIN(Datos!$B$20,C454+D454))</f>
        <v/>
      </c>
      <c r="F454" s="35" t="str">
        <f>IF(A454="","",MAX(0,E454-D454))</f>
        <v/>
      </c>
      <c r="G454" s="36">
        <v>0</v>
      </c>
      <c r="H454" s="35" t="str">
        <f>IF(A454="","",MIN(C454,F454+G454))</f>
        <v/>
      </c>
      <c r="I454" s="35" t="str">
        <f>IF(A454="","",MAX(0,C454-H454))</f>
        <v/>
      </c>
      <c r="J454" s="35" t="str">
        <f>IF(A454="","",D454+H454)</f>
        <v/>
      </c>
    </row>
    <row r="455" spans="1:10" ht="15" customHeight="1">
      <c r="A455" s="32" t="str">
        <f>IF(450&lt;=Datos!$B$13,450,"")</f>
        <v/>
      </c>
      <c r="B455" s="44" t="str">
        <f>IF(A455="","",EDATE(Datos!$B$19,A455-1))</f>
        <v/>
      </c>
      <c r="C455" s="35" t="str">
        <f>IF(A455="","",I454)</f>
        <v/>
      </c>
      <c r="D455" s="35" t="str">
        <f>IF(A455="","",C455*Datos!$B$17/Datos!$B$12)</f>
        <v/>
      </c>
      <c r="E455" s="35" t="str">
        <f>IF(A455="","",MIN(Datos!$B$20,C455+D455))</f>
        <v/>
      </c>
      <c r="F455" s="35" t="str">
        <f>IF(A455="","",MAX(0,E455-D455))</f>
        <v/>
      </c>
      <c r="G455" s="36">
        <v>0</v>
      </c>
      <c r="H455" s="35" t="str">
        <f>IF(A455="","",MIN(C455,F455+G455))</f>
        <v/>
      </c>
      <c r="I455" s="35" t="str">
        <f>IF(A455="","",MAX(0,C455-H455))</f>
        <v/>
      </c>
      <c r="J455" s="35" t="str">
        <f>IF(A455="","",D455+H455)</f>
        <v/>
      </c>
    </row>
    <row r="456" spans="1:10" ht="15" customHeight="1">
      <c r="A456" s="32" t="str">
        <f>IF(451&lt;=Datos!$B$13,451,"")</f>
        <v/>
      </c>
      <c r="B456" s="44" t="str">
        <f>IF(A456="","",EDATE(Datos!$B$19,A456-1))</f>
        <v/>
      </c>
      <c r="C456" s="35" t="str">
        <f>IF(A456="","",I455)</f>
        <v/>
      </c>
      <c r="D456" s="35" t="str">
        <f>IF(A456="","",C456*Datos!$B$17/Datos!$B$12)</f>
        <v/>
      </c>
      <c r="E456" s="35" t="str">
        <f>IF(A456="","",MIN(Datos!$B$20,C456+D456))</f>
        <v/>
      </c>
      <c r="F456" s="35" t="str">
        <f>IF(A456="","",MAX(0,E456-D456))</f>
        <v/>
      </c>
      <c r="G456" s="36">
        <v>0</v>
      </c>
      <c r="H456" s="35" t="str">
        <f>IF(A456="","",MIN(C456,F456+G456))</f>
        <v/>
      </c>
      <c r="I456" s="35" t="str">
        <f>IF(A456="","",MAX(0,C456-H456))</f>
        <v/>
      </c>
      <c r="J456" s="35" t="str">
        <f>IF(A456="","",D456+H456)</f>
        <v/>
      </c>
    </row>
    <row r="457" spans="1:10" ht="15" customHeight="1">
      <c r="A457" s="32" t="str">
        <f>IF(452&lt;=Datos!$B$13,452,"")</f>
        <v/>
      </c>
      <c r="B457" s="44" t="str">
        <f>IF(A457="","",EDATE(Datos!$B$19,A457-1))</f>
        <v/>
      </c>
      <c r="C457" s="35" t="str">
        <f>IF(A457="","",I456)</f>
        <v/>
      </c>
      <c r="D457" s="35" t="str">
        <f>IF(A457="","",C457*Datos!$B$17/Datos!$B$12)</f>
        <v/>
      </c>
      <c r="E457" s="35" t="str">
        <f>IF(A457="","",MIN(Datos!$B$20,C457+D457))</f>
        <v/>
      </c>
      <c r="F457" s="35" t="str">
        <f>IF(A457="","",MAX(0,E457-D457))</f>
        <v/>
      </c>
      <c r="G457" s="36">
        <v>0</v>
      </c>
      <c r="H457" s="35" t="str">
        <f>IF(A457="","",MIN(C457,F457+G457))</f>
        <v/>
      </c>
      <c r="I457" s="35" t="str">
        <f>IF(A457="","",MAX(0,C457-H457))</f>
        <v/>
      </c>
      <c r="J457" s="35" t="str">
        <f>IF(A457="","",D457+H457)</f>
        <v/>
      </c>
    </row>
    <row r="458" spans="1:10" ht="15" customHeight="1">
      <c r="A458" s="32" t="str">
        <f>IF(453&lt;=Datos!$B$13,453,"")</f>
        <v/>
      </c>
      <c r="B458" s="44" t="str">
        <f>IF(A458="","",EDATE(Datos!$B$19,A458-1))</f>
        <v/>
      </c>
      <c r="C458" s="35" t="str">
        <f>IF(A458="","",I457)</f>
        <v/>
      </c>
      <c r="D458" s="35" t="str">
        <f>IF(A458="","",C458*Datos!$B$17/Datos!$B$12)</f>
        <v/>
      </c>
      <c r="E458" s="35" t="str">
        <f>IF(A458="","",MIN(Datos!$B$20,C458+D458))</f>
        <v/>
      </c>
      <c r="F458" s="35" t="str">
        <f>IF(A458="","",MAX(0,E458-D458))</f>
        <v/>
      </c>
      <c r="G458" s="36">
        <v>0</v>
      </c>
      <c r="H458" s="35" t="str">
        <f>IF(A458="","",MIN(C458,F458+G458))</f>
        <v/>
      </c>
      <c r="I458" s="35" t="str">
        <f>IF(A458="","",MAX(0,C458-H458))</f>
        <v/>
      </c>
      <c r="J458" s="35" t="str">
        <f>IF(A458="","",D458+H458)</f>
        <v/>
      </c>
    </row>
    <row r="459" spans="1:10" ht="15" customHeight="1">
      <c r="A459" s="32" t="str">
        <f>IF(454&lt;=Datos!$B$13,454,"")</f>
        <v/>
      </c>
      <c r="B459" s="44" t="str">
        <f>IF(A459="","",EDATE(Datos!$B$19,A459-1))</f>
        <v/>
      </c>
      <c r="C459" s="35" t="str">
        <f>IF(A459="","",I458)</f>
        <v/>
      </c>
      <c r="D459" s="35" t="str">
        <f>IF(A459="","",C459*Datos!$B$17/Datos!$B$12)</f>
        <v/>
      </c>
      <c r="E459" s="35" t="str">
        <f>IF(A459="","",MIN(Datos!$B$20,C459+D459))</f>
        <v/>
      </c>
      <c r="F459" s="35" t="str">
        <f>IF(A459="","",MAX(0,E459-D459))</f>
        <v/>
      </c>
      <c r="G459" s="36">
        <v>0</v>
      </c>
      <c r="H459" s="35" t="str">
        <f>IF(A459="","",MIN(C459,F459+G459))</f>
        <v/>
      </c>
      <c r="I459" s="35" t="str">
        <f>IF(A459="","",MAX(0,C459-H459))</f>
        <v/>
      </c>
      <c r="J459" s="35" t="str">
        <f>IF(A459="","",D459+H459)</f>
        <v/>
      </c>
    </row>
    <row r="460" spans="1:10" ht="15" customHeight="1">
      <c r="A460" s="32" t="str">
        <f>IF(455&lt;=Datos!$B$13,455,"")</f>
        <v/>
      </c>
      <c r="B460" s="44" t="str">
        <f>IF(A460="","",EDATE(Datos!$B$19,A460-1))</f>
        <v/>
      </c>
      <c r="C460" s="35" t="str">
        <f>IF(A460="","",I459)</f>
        <v/>
      </c>
      <c r="D460" s="35" t="str">
        <f>IF(A460="","",C460*Datos!$B$17/Datos!$B$12)</f>
        <v/>
      </c>
      <c r="E460" s="35" t="str">
        <f>IF(A460="","",MIN(Datos!$B$20,C460+D460))</f>
        <v/>
      </c>
      <c r="F460" s="35" t="str">
        <f>IF(A460="","",MAX(0,E460-D460))</f>
        <v/>
      </c>
      <c r="G460" s="36">
        <v>0</v>
      </c>
      <c r="H460" s="35" t="str">
        <f>IF(A460="","",MIN(C460,F460+G460))</f>
        <v/>
      </c>
      <c r="I460" s="35" t="str">
        <f>IF(A460="","",MAX(0,C460-H460))</f>
        <v/>
      </c>
      <c r="J460" s="35" t="str">
        <f>IF(A460="","",D460+H460)</f>
        <v/>
      </c>
    </row>
    <row r="461" spans="1:10" ht="15" customHeight="1">
      <c r="A461" s="32" t="str">
        <f>IF(456&lt;=Datos!$B$13,456,"")</f>
        <v/>
      </c>
      <c r="B461" s="44" t="str">
        <f>IF(A461="","",EDATE(Datos!$B$19,A461-1))</f>
        <v/>
      </c>
      <c r="C461" s="35" t="str">
        <f>IF(A461="","",I460)</f>
        <v/>
      </c>
      <c r="D461" s="35" t="str">
        <f>IF(A461="","",C461*Datos!$B$17/Datos!$B$12)</f>
        <v/>
      </c>
      <c r="E461" s="35" t="str">
        <f>IF(A461="","",MIN(Datos!$B$20,C461+D461))</f>
        <v/>
      </c>
      <c r="F461" s="35" t="str">
        <f>IF(A461="","",MAX(0,E461-D461))</f>
        <v/>
      </c>
      <c r="G461" s="36">
        <v>0</v>
      </c>
      <c r="H461" s="35" t="str">
        <f>IF(A461="","",MIN(C461,F461+G461))</f>
        <v/>
      </c>
      <c r="I461" s="35" t="str">
        <f>IF(A461="","",MAX(0,C461-H461))</f>
        <v/>
      </c>
      <c r="J461" s="35" t="str">
        <f>IF(A461="","",D461+H461)</f>
        <v/>
      </c>
    </row>
    <row r="462" spans="1:10" ht="15" customHeight="1">
      <c r="A462" s="32" t="str">
        <f>IF(457&lt;=Datos!$B$13,457,"")</f>
        <v/>
      </c>
      <c r="B462" s="44" t="str">
        <f>IF(A462="","",EDATE(Datos!$B$19,A462-1))</f>
        <v/>
      </c>
      <c r="C462" s="35" t="str">
        <f>IF(A462="","",I461)</f>
        <v/>
      </c>
      <c r="D462" s="35" t="str">
        <f>IF(A462="","",C462*Datos!$B$17/Datos!$B$12)</f>
        <v/>
      </c>
      <c r="E462" s="35" t="str">
        <f>IF(A462="","",MIN(Datos!$B$20,C462+D462))</f>
        <v/>
      </c>
      <c r="F462" s="35" t="str">
        <f>IF(A462="","",MAX(0,E462-D462))</f>
        <v/>
      </c>
      <c r="G462" s="36">
        <v>0</v>
      </c>
      <c r="H462" s="35" t="str">
        <f>IF(A462="","",MIN(C462,F462+G462))</f>
        <v/>
      </c>
      <c r="I462" s="35" t="str">
        <f>IF(A462="","",MAX(0,C462-H462))</f>
        <v/>
      </c>
      <c r="J462" s="35" t="str">
        <f>IF(A462="","",D462+H462)</f>
        <v/>
      </c>
    </row>
    <row r="463" spans="1:10" ht="15" customHeight="1">
      <c r="A463" s="32" t="str">
        <f>IF(458&lt;=Datos!$B$13,458,"")</f>
        <v/>
      </c>
      <c r="B463" s="44" t="str">
        <f>IF(A463="","",EDATE(Datos!$B$19,A463-1))</f>
        <v/>
      </c>
      <c r="C463" s="35" t="str">
        <f>IF(A463="","",I462)</f>
        <v/>
      </c>
      <c r="D463" s="35" t="str">
        <f>IF(A463="","",C463*Datos!$B$17/Datos!$B$12)</f>
        <v/>
      </c>
      <c r="E463" s="35" t="str">
        <f>IF(A463="","",MIN(Datos!$B$20,C463+D463))</f>
        <v/>
      </c>
      <c r="F463" s="35" t="str">
        <f>IF(A463="","",MAX(0,E463-D463))</f>
        <v/>
      </c>
      <c r="G463" s="36">
        <v>0</v>
      </c>
      <c r="H463" s="35" t="str">
        <f>IF(A463="","",MIN(C463,F463+G463))</f>
        <v/>
      </c>
      <c r="I463" s="35" t="str">
        <f>IF(A463="","",MAX(0,C463-H463))</f>
        <v/>
      </c>
      <c r="J463" s="35" t="str">
        <f>IF(A463="","",D463+H463)</f>
        <v/>
      </c>
    </row>
    <row r="464" spans="1:10" ht="15" customHeight="1">
      <c r="A464" s="32" t="str">
        <f>IF(459&lt;=Datos!$B$13,459,"")</f>
        <v/>
      </c>
      <c r="B464" s="44" t="str">
        <f>IF(A464="","",EDATE(Datos!$B$19,A464-1))</f>
        <v/>
      </c>
      <c r="C464" s="35" t="str">
        <f>IF(A464="","",I463)</f>
        <v/>
      </c>
      <c r="D464" s="35" t="str">
        <f>IF(A464="","",C464*Datos!$B$17/Datos!$B$12)</f>
        <v/>
      </c>
      <c r="E464" s="35" t="str">
        <f>IF(A464="","",MIN(Datos!$B$20,C464+D464))</f>
        <v/>
      </c>
      <c r="F464" s="35" t="str">
        <f>IF(A464="","",MAX(0,E464-D464))</f>
        <v/>
      </c>
      <c r="G464" s="36">
        <v>0</v>
      </c>
      <c r="H464" s="35" t="str">
        <f>IF(A464="","",MIN(C464,F464+G464))</f>
        <v/>
      </c>
      <c r="I464" s="35" t="str">
        <f>IF(A464="","",MAX(0,C464-H464))</f>
        <v/>
      </c>
      <c r="J464" s="35" t="str">
        <f>IF(A464="","",D464+H464)</f>
        <v/>
      </c>
    </row>
    <row r="465" spans="1:10" ht="15" customHeight="1">
      <c r="A465" s="32" t="str">
        <f>IF(460&lt;=Datos!$B$13,460,"")</f>
        <v/>
      </c>
      <c r="B465" s="44" t="str">
        <f>IF(A465="","",EDATE(Datos!$B$19,A465-1))</f>
        <v/>
      </c>
      <c r="C465" s="35" t="str">
        <f>IF(A465="","",I464)</f>
        <v/>
      </c>
      <c r="D465" s="35" t="str">
        <f>IF(A465="","",C465*Datos!$B$17/Datos!$B$12)</f>
        <v/>
      </c>
      <c r="E465" s="35" t="str">
        <f>IF(A465="","",MIN(Datos!$B$20,C465+D465))</f>
        <v/>
      </c>
      <c r="F465" s="35" t="str">
        <f>IF(A465="","",MAX(0,E465-D465))</f>
        <v/>
      </c>
      <c r="G465" s="36">
        <v>0</v>
      </c>
      <c r="H465" s="35" t="str">
        <f>IF(A465="","",MIN(C465,F465+G465))</f>
        <v/>
      </c>
      <c r="I465" s="35" t="str">
        <f>IF(A465="","",MAX(0,C465-H465))</f>
        <v/>
      </c>
      <c r="J465" s="35" t="str">
        <f>IF(A465="","",D465+H465)</f>
        <v/>
      </c>
    </row>
    <row r="466" spans="1:10" ht="15" customHeight="1">
      <c r="A466" s="32" t="str">
        <f>IF(461&lt;=Datos!$B$13,461,"")</f>
        <v/>
      </c>
      <c r="B466" s="44" t="str">
        <f>IF(A466="","",EDATE(Datos!$B$19,A466-1))</f>
        <v/>
      </c>
      <c r="C466" s="35" t="str">
        <f>IF(A466="","",I465)</f>
        <v/>
      </c>
      <c r="D466" s="35" t="str">
        <f>IF(A466="","",C466*Datos!$B$17/Datos!$B$12)</f>
        <v/>
      </c>
      <c r="E466" s="35" t="str">
        <f>IF(A466="","",MIN(Datos!$B$20,C466+D466))</f>
        <v/>
      </c>
      <c r="F466" s="35" t="str">
        <f>IF(A466="","",MAX(0,E466-D466))</f>
        <v/>
      </c>
      <c r="G466" s="36">
        <v>0</v>
      </c>
      <c r="H466" s="35" t="str">
        <f>IF(A466="","",MIN(C466,F466+G466))</f>
        <v/>
      </c>
      <c r="I466" s="35" t="str">
        <f>IF(A466="","",MAX(0,C466-H466))</f>
        <v/>
      </c>
      <c r="J466" s="35" t="str">
        <f>IF(A466="","",D466+H466)</f>
        <v/>
      </c>
    </row>
    <row r="467" spans="1:10" ht="15" customHeight="1">
      <c r="A467" s="32" t="str">
        <f>IF(462&lt;=Datos!$B$13,462,"")</f>
        <v/>
      </c>
      <c r="B467" s="44" t="str">
        <f>IF(A467="","",EDATE(Datos!$B$19,A467-1))</f>
        <v/>
      </c>
      <c r="C467" s="35" t="str">
        <f>IF(A467="","",I466)</f>
        <v/>
      </c>
      <c r="D467" s="35" t="str">
        <f>IF(A467="","",C467*Datos!$B$17/Datos!$B$12)</f>
        <v/>
      </c>
      <c r="E467" s="35" t="str">
        <f>IF(A467="","",MIN(Datos!$B$20,C467+D467))</f>
        <v/>
      </c>
      <c r="F467" s="35" t="str">
        <f>IF(A467="","",MAX(0,E467-D467))</f>
        <v/>
      </c>
      <c r="G467" s="36">
        <v>0</v>
      </c>
      <c r="H467" s="35" t="str">
        <f>IF(A467="","",MIN(C467,F467+G467))</f>
        <v/>
      </c>
      <c r="I467" s="35" t="str">
        <f>IF(A467="","",MAX(0,C467-H467))</f>
        <v/>
      </c>
      <c r="J467" s="35" t="str">
        <f>IF(A467="","",D467+H467)</f>
        <v/>
      </c>
    </row>
    <row r="468" spans="1:10" ht="15" customHeight="1">
      <c r="A468" s="32" t="str">
        <f>IF(463&lt;=Datos!$B$13,463,"")</f>
        <v/>
      </c>
      <c r="B468" s="44" t="str">
        <f>IF(A468="","",EDATE(Datos!$B$19,A468-1))</f>
        <v/>
      </c>
      <c r="C468" s="35" t="str">
        <f>IF(A468="","",I467)</f>
        <v/>
      </c>
      <c r="D468" s="35" t="str">
        <f>IF(A468="","",C468*Datos!$B$17/Datos!$B$12)</f>
        <v/>
      </c>
      <c r="E468" s="35" t="str">
        <f>IF(A468="","",MIN(Datos!$B$20,C468+D468))</f>
        <v/>
      </c>
      <c r="F468" s="35" t="str">
        <f>IF(A468="","",MAX(0,E468-D468))</f>
        <v/>
      </c>
      <c r="G468" s="36">
        <v>0</v>
      </c>
      <c r="H468" s="35" t="str">
        <f>IF(A468="","",MIN(C468,F468+G468))</f>
        <v/>
      </c>
      <c r="I468" s="35" t="str">
        <f>IF(A468="","",MAX(0,C468-H468))</f>
        <v/>
      </c>
      <c r="J468" s="35" t="str">
        <f>IF(A468="","",D468+H468)</f>
        <v/>
      </c>
    </row>
    <row r="469" spans="1:10" ht="15" customHeight="1">
      <c r="A469" s="32" t="str">
        <f>IF(464&lt;=Datos!$B$13,464,"")</f>
        <v/>
      </c>
      <c r="B469" s="44" t="str">
        <f>IF(A469="","",EDATE(Datos!$B$19,A469-1))</f>
        <v/>
      </c>
      <c r="C469" s="35" t="str">
        <f>IF(A469="","",I468)</f>
        <v/>
      </c>
      <c r="D469" s="35" t="str">
        <f>IF(A469="","",C469*Datos!$B$17/Datos!$B$12)</f>
        <v/>
      </c>
      <c r="E469" s="35" t="str">
        <f>IF(A469="","",MIN(Datos!$B$20,C469+D469))</f>
        <v/>
      </c>
      <c r="F469" s="35" t="str">
        <f>IF(A469="","",MAX(0,E469-D469))</f>
        <v/>
      </c>
      <c r="G469" s="36">
        <v>0</v>
      </c>
      <c r="H469" s="35" t="str">
        <f>IF(A469="","",MIN(C469,F469+G469))</f>
        <v/>
      </c>
      <c r="I469" s="35" t="str">
        <f>IF(A469="","",MAX(0,C469-H469))</f>
        <v/>
      </c>
      <c r="J469" s="35" t="str">
        <f>IF(A469="","",D469+H469)</f>
        <v/>
      </c>
    </row>
    <row r="470" spans="1:10" ht="15" customHeight="1">
      <c r="A470" s="32" t="str">
        <f>IF(465&lt;=Datos!$B$13,465,"")</f>
        <v/>
      </c>
      <c r="B470" s="44" t="str">
        <f>IF(A470="","",EDATE(Datos!$B$19,A470-1))</f>
        <v/>
      </c>
      <c r="C470" s="35" t="str">
        <f>IF(A470="","",I469)</f>
        <v/>
      </c>
      <c r="D470" s="35" t="str">
        <f>IF(A470="","",C470*Datos!$B$17/Datos!$B$12)</f>
        <v/>
      </c>
      <c r="E470" s="35" t="str">
        <f>IF(A470="","",MIN(Datos!$B$20,C470+D470))</f>
        <v/>
      </c>
      <c r="F470" s="35" t="str">
        <f>IF(A470="","",MAX(0,E470-D470))</f>
        <v/>
      </c>
      <c r="G470" s="36">
        <v>0</v>
      </c>
      <c r="H470" s="35" t="str">
        <f>IF(A470="","",MIN(C470,F470+G470))</f>
        <v/>
      </c>
      <c r="I470" s="35" t="str">
        <f>IF(A470="","",MAX(0,C470-H470))</f>
        <v/>
      </c>
      <c r="J470" s="35" t="str">
        <f>IF(A470="","",D470+H470)</f>
        <v/>
      </c>
    </row>
    <row r="471" spans="1:10" ht="15" customHeight="1">
      <c r="A471" s="32" t="str">
        <f>IF(466&lt;=Datos!$B$13,466,"")</f>
        <v/>
      </c>
      <c r="B471" s="44" t="str">
        <f>IF(A471="","",EDATE(Datos!$B$19,A471-1))</f>
        <v/>
      </c>
      <c r="C471" s="35" t="str">
        <f>IF(A471="","",I470)</f>
        <v/>
      </c>
      <c r="D471" s="35" t="str">
        <f>IF(A471="","",C471*Datos!$B$17/Datos!$B$12)</f>
        <v/>
      </c>
      <c r="E471" s="35" t="str">
        <f>IF(A471="","",MIN(Datos!$B$20,C471+D471))</f>
        <v/>
      </c>
      <c r="F471" s="35" t="str">
        <f>IF(A471="","",MAX(0,E471-D471))</f>
        <v/>
      </c>
      <c r="G471" s="36">
        <v>0</v>
      </c>
      <c r="H471" s="35" t="str">
        <f>IF(A471="","",MIN(C471,F471+G471))</f>
        <v/>
      </c>
      <c r="I471" s="35" t="str">
        <f>IF(A471="","",MAX(0,C471-H471))</f>
        <v/>
      </c>
      <c r="J471" s="35" t="str">
        <f>IF(A471="","",D471+H471)</f>
        <v/>
      </c>
    </row>
    <row r="472" spans="1:10" ht="15" customHeight="1">
      <c r="A472" s="32" t="str">
        <f>IF(467&lt;=Datos!$B$13,467,"")</f>
        <v/>
      </c>
      <c r="B472" s="44" t="str">
        <f>IF(A472="","",EDATE(Datos!$B$19,A472-1))</f>
        <v/>
      </c>
      <c r="C472" s="35" t="str">
        <f>IF(A472="","",I471)</f>
        <v/>
      </c>
      <c r="D472" s="35" t="str">
        <f>IF(A472="","",C472*Datos!$B$17/Datos!$B$12)</f>
        <v/>
      </c>
      <c r="E472" s="35" t="str">
        <f>IF(A472="","",MIN(Datos!$B$20,C472+D472))</f>
        <v/>
      </c>
      <c r="F472" s="35" t="str">
        <f>IF(A472="","",MAX(0,E472-D472))</f>
        <v/>
      </c>
      <c r="G472" s="36">
        <v>0</v>
      </c>
      <c r="H472" s="35" t="str">
        <f>IF(A472="","",MIN(C472,F472+G472))</f>
        <v/>
      </c>
      <c r="I472" s="35" t="str">
        <f>IF(A472="","",MAX(0,C472-H472))</f>
        <v/>
      </c>
      <c r="J472" s="35" t="str">
        <f>IF(A472="","",D472+H472)</f>
        <v/>
      </c>
    </row>
    <row r="473" spans="1:10" ht="15" customHeight="1">
      <c r="A473" s="32" t="str">
        <f>IF(468&lt;=Datos!$B$13,468,"")</f>
        <v/>
      </c>
      <c r="B473" s="44" t="str">
        <f>IF(A473="","",EDATE(Datos!$B$19,A473-1))</f>
        <v/>
      </c>
      <c r="C473" s="35" t="str">
        <f>IF(A473="","",I472)</f>
        <v/>
      </c>
      <c r="D473" s="35" t="str">
        <f>IF(A473="","",C473*Datos!$B$17/Datos!$B$12)</f>
        <v/>
      </c>
      <c r="E473" s="35" t="str">
        <f>IF(A473="","",MIN(Datos!$B$20,C473+D473))</f>
        <v/>
      </c>
      <c r="F473" s="35" t="str">
        <f>IF(A473="","",MAX(0,E473-D473))</f>
        <v/>
      </c>
      <c r="G473" s="36">
        <v>0</v>
      </c>
      <c r="H473" s="35" t="str">
        <f>IF(A473="","",MIN(C473,F473+G473))</f>
        <v/>
      </c>
      <c r="I473" s="35" t="str">
        <f>IF(A473="","",MAX(0,C473-H473))</f>
        <v/>
      </c>
      <c r="J473" s="35" t="str">
        <f>IF(A473="","",D473+H473)</f>
        <v/>
      </c>
    </row>
    <row r="474" spans="1:10" ht="15" customHeight="1">
      <c r="A474" s="32" t="str">
        <f>IF(469&lt;=Datos!$B$13,469,"")</f>
        <v/>
      </c>
      <c r="B474" s="44" t="str">
        <f>IF(A474="","",EDATE(Datos!$B$19,A474-1))</f>
        <v/>
      </c>
      <c r="C474" s="35" t="str">
        <f>IF(A474="","",I473)</f>
        <v/>
      </c>
      <c r="D474" s="35" t="str">
        <f>IF(A474="","",C474*Datos!$B$17/Datos!$B$12)</f>
        <v/>
      </c>
      <c r="E474" s="35" t="str">
        <f>IF(A474="","",MIN(Datos!$B$20,C474+D474))</f>
        <v/>
      </c>
      <c r="F474" s="35" t="str">
        <f>IF(A474="","",MAX(0,E474-D474))</f>
        <v/>
      </c>
      <c r="G474" s="36">
        <v>0</v>
      </c>
      <c r="H474" s="35" t="str">
        <f>IF(A474="","",MIN(C474,F474+G474))</f>
        <v/>
      </c>
      <c r="I474" s="35" t="str">
        <f>IF(A474="","",MAX(0,C474-H474))</f>
        <v/>
      </c>
      <c r="J474" s="35" t="str">
        <f>IF(A474="","",D474+H474)</f>
        <v/>
      </c>
    </row>
    <row r="475" spans="1:10" ht="15" customHeight="1">
      <c r="A475" s="32" t="str">
        <f>IF(470&lt;=Datos!$B$13,470,"")</f>
        <v/>
      </c>
      <c r="B475" s="44" t="str">
        <f>IF(A475="","",EDATE(Datos!$B$19,A475-1))</f>
        <v/>
      </c>
      <c r="C475" s="35" t="str">
        <f>IF(A475="","",I474)</f>
        <v/>
      </c>
      <c r="D475" s="35" t="str">
        <f>IF(A475="","",C475*Datos!$B$17/Datos!$B$12)</f>
        <v/>
      </c>
      <c r="E475" s="35" t="str">
        <f>IF(A475="","",MIN(Datos!$B$20,C475+D475))</f>
        <v/>
      </c>
      <c r="F475" s="35" t="str">
        <f>IF(A475="","",MAX(0,E475-D475))</f>
        <v/>
      </c>
      <c r="G475" s="36">
        <v>0</v>
      </c>
      <c r="H475" s="35" t="str">
        <f>IF(A475="","",MIN(C475,F475+G475))</f>
        <v/>
      </c>
      <c r="I475" s="35" t="str">
        <f>IF(A475="","",MAX(0,C475-H475))</f>
        <v/>
      </c>
      <c r="J475" s="35" t="str">
        <f>IF(A475="","",D475+H475)</f>
        <v/>
      </c>
    </row>
    <row r="476" spans="1:10" ht="15" customHeight="1">
      <c r="A476" s="32" t="str">
        <f>IF(471&lt;=Datos!$B$13,471,"")</f>
        <v/>
      </c>
      <c r="B476" s="44" t="str">
        <f>IF(A476="","",EDATE(Datos!$B$19,A476-1))</f>
        <v/>
      </c>
      <c r="C476" s="35" t="str">
        <f>IF(A476="","",I475)</f>
        <v/>
      </c>
      <c r="D476" s="35" t="str">
        <f>IF(A476="","",C476*Datos!$B$17/Datos!$B$12)</f>
        <v/>
      </c>
      <c r="E476" s="35" t="str">
        <f>IF(A476="","",MIN(Datos!$B$20,C476+D476))</f>
        <v/>
      </c>
      <c r="F476" s="35" t="str">
        <f>IF(A476="","",MAX(0,E476-D476))</f>
        <v/>
      </c>
      <c r="G476" s="36">
        <v>0</v>
      </c>
      <c r="H476" s="35" t="str">
        <f>IF(A476="","",MIN(C476,F476+G476))</f>
        <v/>
      </c>
      <c r="I476" s="35" t="str">
        <f>IF(A476="","",MAX(0,C476-H476))</f>
        <v/>
      </c>
      <c r="J476" s="35" t="str">
        <f>IF(A476="","",D476+H476)</f>
        <v/>
      </c>
    </row>
    <row r="477" spans="1:10" ht="15" customHeight="1">
      <c r="A477" s="32" t="str">
        <f>IF(472&lt;=Datos!$B$13,472,"")</f>
        <v/>
      </c>
      <c r="B477" s="44" t="str">
        <f>IF(A477="","",EDATE(Datos!$B$19,A477-1))</f>
        <v/>
      </c>
      <c r="C477" s="35" t="str">
        <f>IF(A477="","",I476)</f>
        <v/>
      </c>
      <c r="D477" s="35" t="str">
        <f>IF(A477="","",C477*Datos!$B$17/Datos!$B$12)</f>
        <v/>
      </c>
      <c r="E477" s="35" t="str">
        <f>IF(A477="","",MIN(Datos!$B$20,C477+D477))</f>
        <v/>
      </c>
      <c r="F477" s="35" t="str">
        <f>IF(A477="","",MAX(0,E477-D477))</f>
        <v/>
      </c>
      <c r="G477" s="36">
        <v>0</v>
      </c>
      <c r="H477" s="35" t="str">
        <f>IF(A477="","",MIN(C477,F477+G477))</f>
        <v/>
      </c>
      <c r="I477" s="35" t="str">
        <f>IF(A477="","",MAX(0,C477-H477))</f>
        <v/>
      </c>
      <c r="J477" s="35" t="str">
        <f>IF(A477="","",D477+H477)</f>
        <v/>
      </c>
    </row>
    <row r="478" spans="1:10" ht="15" customHeight="1">
      <c r="A478" s="32" t="str">
        <f>IF(473&lt;=Datos!$B$13,473,"")</f>
        <v/>
      </c>
      <c r="B478" s="44" t="str">
        <f>IF(A478="","",EDATE(Datos!$B$19,A478-1))</f>
        <v/>
      </c>
      <c r="C478" s="35" t="str">
        <f>IF(A478="","",I477)</f>
        <v/>
      </c>
      <c r="D478" s="35" t="str">
        <f>IF(A478="","",C478*Datos!$B$17/Datos!$B$12)</f>
        <v/>
      </c>
      <c r="E478" s="35" t="str">
        <f>IF(A478="","",MIN(Datos!$B$20,C478+D478))</f>
        <v/>
      </c>
      <c r="F478" s="35" t="str">
        <f>IF(A478="","",MAX(0,E478-D478))</f>
        <v/>
      </c>
      <c r="G478" s="36">
        <v>0</v>
      </c>
      <c r="H478" s="35" t="str">
        <f>IF(A478="","",MIN(C478,F478+G478))</f>
        <v/>
      </c>
      <c r="I478" s="35" t="str">
        <f>IF(A478="","",MAX(0,C478-H478))</f>
        <v/>
      </c>
      <c r="J478" s="35" t="str">
        <f>IF(A478="","",D478+H478)</f>
        <v/>
      </c>
    </row>
    <row r="479" spans="1:10" ht="15" customHeight="1">
      <c r="A479" s="32" t="str">
        <f>IF(474&lt;=Datos!$B$13,474,"")</f>
        <v/>
      </c>
      <c r="B479" s="44" t="str">
        <f>IF(A479="","",EDATE(Datos!$B$19,A479-1))</f>
        <v/>
      </c>
      <c r="C479" s="35" t="str">
        <f>IF(A479="","",I478)</f>
        <v/>
      </c>
      <c r="D479" s="35" t="str">
        <f>IF(A479="","",C479*Datos!$B$17/Datos!$B$12)</f>
        <v/>
      </c>
      <c r="E479" s="35" t="str">
        <f>IF(A479="","",MIN(Datos!$B$20,C479+D479))</f>
        <v/>
      </c>
      <c r="F479" s="35" t="str">
        <f>IF(A479="","",MAX(0,E479-D479))</f>
        <v/>
      </c>
      <c r="G479" s="36">
        <v>0</v>
      </c>
      <c r="H479" s="35" t="str">
        <f>IF(A479="","",MIN(C479,F479+G479))</f>
        <v/>
      </c>
      <c r="I479" s="35" t="str">
        <f>IF(A479="","",MAX(0,C479-H479))</f>
        <v/>
      </c>
      <c r="J479" s="35" t="str">
        <f>IF(A479="","",D479+H479)</f>
        <v/>
      </c>
    </row>
    <row r="480" spans="1:10" ht="15" customHeight="1">
      <c r="A480" s="32" t="str">
        <f>IF(475&lt;=Datos!$B$13,475,"")</f>
        <v/>
      </c>
      <c r="B480" s="44" t="str">
        <f>IF(A480="","",EDATE(Datos!$B$19,A480-1))</f>
        <v/>
      </c>
      <c r="C480" s="35" t="str">
        <f>IF(A480="","",I479)</f>
        <v/>
      </c>
      <c r="D480" s="35" t="str">
        <f>IF(A480="","",C480*Datos!$B$17/Datos!$B$12)</f>
        <v/>
      </c>
      <c r="E480" s="35" t="str">
        <f>IF(A480="","",MIN(Datos!$B$20,C480+D480))</f>
        <v/>
      </c>
      <c r="F480" s="35" t="str">
        <f>IF(A480="","",MAX(0,E480-D480))</f>
        <v/>
      </c>
      <c r="G480" s="36">
        <v>0</v>
      </c>
      <c r="H480" s="35" t="str">
        <f>IF(A480="","",MIN(C480,F480+G480))</f>
        <v/>
      </c>
      <c r="I480" s="35" t="str">
        <f>IF(A480="","",MAX(0,C480-H480))</f>
        <v/>
      </c>
      <c r="J480" s="35" t="str">
        <f>IF(A480="","",D480+H480)</f>
        <v/>
      </c>
    </row>
    <row r="481" spans="1:10" ht="15" customHeight="1">
      <c r="A481" s="32" t="str">
        <f>IF(476&lt;=Datos!$B$13,476,"")</f>
        <v/>
      </c>
      <c r="B481" s="44" t="str">
        <f>IF(A481="","",EDATE(Datos!$B$19,A481-1))</f>
        <v/>
      </c>
      <c r="C481" s="35" t="str">
        <f>IF(A481="","",I480)</f>
        <v/>
      </c>
      <c r="D481" s="35" t="str">
        <f>IF(A481="","",C481*Datos!$B$17/Datos!$B$12)</f>
        <v/>
      </c>
      <c r="E481" s="35" t="str">
        <f>IF(A481="","",MIN(Datos!$B$20,C481+D481))</f>
        <v/>
      </c>
      <c r="F481" s="35" t="str">
        <f>IF(A481="","",MAX(0,E481-D481))</f>
        <v/>
      </c>
      <c r="G481" s="36">
        <v>0</v>
      </c>
      <c r="H481" s="35" t="str">
        <f>IF(A481="","",MIN(C481,F481+G481))</f>
        <v/>
      </c>
      <c r="I481" s="35" t="str">
        <f>IF(A481="","",MAX(0,C481-H481))</f>
        <v/>
      </c>
      <c r="J481" s="35" t="str">
        <f>IF(A481="","",D481+H481)</f>
        <v/>
      </c>
    </row>
    <row r="482" spans="1:10" ht="15" customHeight="1">
      <c r="A482" s="32" t="str">
        <f>IF(477&lt;=Datos!$B$13,477,"")</f>
        <v/>
      </c>
      <c r="B482" s="44" t="str">
        <f>IF(A482="","",EDATE(Datos!$B$19,A482-1))</f>
        <v/>
      </c>
      <c r="C482" s="35" t="str">
        <f>IF(A482="","",I481)</f>
        <v/>
      </c>
      <c r="D482" s="35" t="str">
        <f>IF(A482="","",C482*Datos!$B$17/Datos!$B$12)</f>
        <v/>
      </c>
      <c r="E482" s="35" t="str">
        <f>IF(A482="","",MIN(Datos!$B$20,C482+D482))</f>
        <v/>
      </c>
      <c r="F482" s="35" t="str">
        <f>IF(A482="","",MAX(0,E482-D482))</f>
        <v/>
      </c>
      <c r="G482" s="36">
        <v>0</v>
      </c>
      <c r="H482" s="35" t="str">
        <f>IF(A482="","",MIN(C482,F482+G482))</f>
        <v/>
      </c>
      <c r="I482" s="35" t="str">
        <f>IF(A482="","",MAX(0,C482-H482))</f>
        <v/>
      </c>
      <c r="J482" s="35" t="str">
        <f>IF(A482="","",D482+H482)</f>
        <v/>
      </c>
    </row>
    <row r="483" spans="1:10" ht="15" customHeight="1">
      <c r="A483" s="32" t="str">
        <f>IF(478&lt;=Datos!$B$13,478,"")</f>
        <v/>
      </c>
      <c r="B483" s="44" t="str">
        <f>IF(A483="","",EDATE(Datos!$B$19,A483-1))</f>
        <v/>
      </c>
      <c r="C483" s="35" t="str">
        <f>IF(A483="","",I482)</f>
        <v/>
      </c>
      <c r="D483" s="35" t="str">
        <f>IF(A483="","",C483*Datos!$B$17/Datos!$B$12)</f>
        <v/>
      </c>
      <c r="E483" s="35" t="str">
        <f>IF(A483="","",MIN(Datos!$B$20,C483+D483))</f>
        <v/>
      </c>
      <c r="F483" s="35" t="str">
        <f>IF(A483="","",MAX(0,E483-D483))</f>
        <v/>
      </c>
      <c r="G483" s="36">
        <v>0</v>
      </c>
      <c r="H483" s="35" t="str">
        <f>IF(A483="","",MIN(C483,F483+G483))</f>
        <v/>
      </c>
      <c r="I483" s="35" t="str">
        <f>IF(A483="","",MAX(0,C483-H483))</f>
        <v/>
      </c>
      <c r="J483" s="35" t="str">
        <f>IF(A483="","",D483+H483)</f>
        <v/>
      </c>
    </row>
    <row r="484" spans="1:10" ht="15" customHeight="1">
      <c r="A484" s="32" t="str">
        <f>IF(479&lt;=Datos!$B$13,479,"")</f>
        <v/>
      </c>
      <c r="B484" s="44" t="str">
        <f>IF(A484="","",EDATE(Datos!$B$19,A484-1))</f>
        <v/>
      </c>
      <c r="C484" s="35" t="str">
        <f>IF(A484="","",I483)</f>
        <v/>
      </c>
      <c r="D484" s="35" t="str">
        <f>IF(A484="","",C484*Datos!$B$17/Datos!$B$12)</f>
        <v/>
      </c>
      <c r="E484" s="35" t="str">
        <f>IF(A484="","",MIN(Datos!$B$20,C484+D484))</f>
        <v/>
      </c>
      <c r="F484" s="35" t="str">
        <f>IF(A484="","",MAX(0,E484-D484))</f>
        <v/>
      </c>
      <c r="G484" s="36">
        <v>0</v>
      </c>
      <c r="H484" s="35" t="str">
        <f>IF(A484="","",MIN(C484,F484+G484))</f>
        <v/>
      </c>
      <c r="I484" s="35" t="str">
        <f>IF(A484="","",MAX(0,C484-H484))</f>
        <v/>
      </c>
      <c r="J484" s="35" t="str">
        <f>IF(A484="","",D484+H484)</f>
        <v/>
      </c>
    </row>
    <row r="485" spans="1:10" ht="15" customHeight="1">
      <c r="A485" s="32" t="str">
        <f>IF(480&lt;=Datos!$B$13,480,"")</f>
        <v/>
      </c>
      <c r="B485" s="44" t="str">
        <f>IF(A485="","",EDATE(Datos!$B$19,A485-1))</f>
        <v/>
      </c>
      <c r="C485" s="35" t="str">
        <f>IF(A485="","",I484)</f>
        <v/>
      </c>
      <c r="D485" s="35" t="str">
        <f>IF(A485="","",C485*Datos!$B$17/Datos!$B$12)</f>
        <v/>
      </c>
      <c r="E485" s="35" t="str">
        <f>IF(A485="","",MIN(Datos!$B$20,C485+D485))</f>
        <v/>
      </c>
      <c r="F485" s="35" t="str">
        <f>IF(A485="","",MAX(0,E485-D485))</f>
        <v/>
      </c>
      <c r="G485" s="36">
        <v>0</v>
      </c>
      <c r="H485" s="35" t="str">
        <f>IF(A485="","",MIN(C485,F485+G485))</f>
        <v/>
      </c>
      <c r="I485" s="35" t="str">
        <f>IF(A485="","",MAX(0,C485-H485))</f>
        <v/>
      </c>
      <c r="J485" s="35" t="str">
        <f>IF(A485="","",D485+H485)</f>
        <v/>
      </c>
    </row>
    <row r="486" spans="1:10" ht="15" customHeight="1">
      <c r="A486" s="32" t="str">
        <f>IF(481&lt;=Datos!$B$13,481,"")</f>
        <v/>
      </c>
      <c r="B486" s="44" t="str">
        <f>IF(A486="","",EDATE(Datos!$B$19,A486-1))</f>
        <v/>
      </c>
      <c r="C486" s="35" t="str">
        <f>IF(A486="","",I485)</f>
        <v/>
      </c>
      <c r="D486" s="35" t="str">
        <f>IF(A486="","",C486*Datos!$B$17/Datos!$B$12)</f>
        <v/>
      </c>
      <c r="E486" s="35" t="str">
        <f>IF(A486="","",MIN(Datos!$B$20,C486+D486))</f>
        <v/>
      </c>
      <c r="F486" s="35" t="str">
        <f>IF(A486="","",MAX(0,E486-D486))</f>
        <v/>
      </c>
      <c r="G486" s="36">
        <v>0</v>
      </c>
      <c r="H486" s="35" t="str">
        <f>IF(A486="","",MIN(C486,F486+G486))</f>
        <v/>
      </c>
      <c r="I486" s="35" t="str">
        <f>IF(A486="","",MAX(0,C486-H486))</f>
        <v/>
      </c>
      <c r="J486" s="35" t="str">
        <f>IF(A486="","",D486+H486)</f>
        <v/>
      </c>
    </row>
    <row r="487" spans="1:10" ht="15" customHeight="1">
      <c r="A487" s="32" t="str">
        <f>IF(482&lt;=Datos!$B$13,482,"")</f>
        <v/>
      </c>
      <c r="B487" s="44" t="str">
        <f>IF(A487="","",EDATE(Datos!$B$19,A487-1))</f>
        <v/>
      </c>
      <c r="C487" s="35" t="str">
        <f>IF(A487="","",I486)</f>
        <v/>
      </c>
      <c r="D487" s="35" t="str">
        <f>IF(A487="","",C487*Datos!$B$17/Datos!$B$12)</f>
        <v/>
      </c>
      <c r="E487" s="35" t="str">
        <f>IF(A487="","",MIN(Datos!$B$20,C487+D487))</f>
        <v/>
      </c>
      <c r="F487" s="35" t="str">
        <f>IF(A487="","",MAX(0,E487-D487))</f>
        <v/>
      </c>
      <c r="G487" s="36">
        <v>0</v>
      </c>
      <c r="H487" s="35" t="str">
        <f>IF(A487="","",MIN(C487,F487+G487))</f>
        <v/>
      </c>
      <c r="I487" s="35" t="str">
        <f>IF(A487="","",MAX(0,C487-H487))</f>
        <v/>
      </c>
      <c r="J487" s="35" t="str">
        <f>IF(A487="","",D487+H487)</f>
        <v/>
      </c>
    </row>
    <row r="488" spans="1:10" ht="15" customHeight="1">
      <c r="A488" s="32" t="str">
        <f>IF(483&lt;=Datos!$B$13,483,"")</f>
        <v/>
      </c>
      <c r="B488" s="44" t="str">
        <f>IF(A488="","",EDATE(Datos!$B$19,A488-1))</f>
        <v/>
      </c>
      <c r="C488" s="35" t="str">
        <f>IF(A488="","",I487)</f>
        <v/>
      </c>
      <c r="D488" s="35" t="str">
        <f>IF(A488="","",C488*Datos!$B$17/Datos!$B$12)</f>
        <v/>
      </c>
      <c r="E488" s="35" t="str">
        <f>IF(A488="","",MIN(Datos!$B$20,C488+D488))</f>
        <v/>
      </c>
      <c r="F488" s="35" t="str">
        <f>IF(A488="","",MAX(0,E488-D488))</f>
        <v/>
      </c>
      <c r="G488" s="36">
        <v>0</v>
      </c>
      <c r="H488" s="35" t="str">
        <f>IF(A488="","",MIN(C488,F488+G488))</f>
        <v/>
      </c>
      <c r="I488" s="35" t="str">
        <f>IF(A488="","",MAX(0,C488-H488))</f>
        <v/>
      </c>
      <c r="J488" s="35" t="str">
        <f>IF(A488="","",D488+H488)</f>
        <v/>
      </c>
    </row>
    <row r="489" spans="1:10" ht="15" customHeight="1">
      <c r="A489" s="32" t="str">
        <f>IF(484&lt;=Datos!$B$13,484,"")</f>
        <v/>
      </c>
      <c r="B489" s="44" t="str">
        <f>IF(A489="","",EDATE(Datos!$B$19,A489-1))</f>
        <v/>
      </c>
      <c r="C489" s="35" t="str">
        <f>IF(A489="","",I488)</f>
        <v/>
      </c>
      <c r="D489" s="35" t="str">
        <f>IF(A489="","",C489*Datos!$B$17/Datos!$B$12)</f>
        <v/>
      </c>
      <c r="E489" s="35" t="str">
        <f>IF(A489="","",MIN(Datos!$B$20,C489+D489))</f>
        <v/>
      </c>
      <c r="F489" s="35" t="str">
        <f>IF(A489="","",MAX(0,E489-D489))</f>
        <v/>
      </c>
      <c r="G489" s="36">
        <v>0</v>
      </c>
      <c r="H489" s="35" t="str">
        <f>IF(A489="","",MIN(C489,F489+G489))</f>
        <v/>
      </c>
      <c r="I489" s="35" t="str">
        <f>IF(A489="","",MAX(0,C489-H489))</f>
        <v/>
      </c>
      <c r="J489" s="35" t="str">
        <f>IF(A489="","",D489+H489)</f>
        <v/>
      </c>
    </row>
    <row r="490" spans="1:10" ht="15" customHeight="1">
      <c r="A490" s="32" t="str">
        <f>IF(485&lt;=Datos!$B$13,485,"")</f>
        <v/>
      </c>
      <c r="B490" s="44" t="str">
        <f>IF(A490="","",EDATE(Datos!$B$19,A490-1))</f>
        <v/>
      </c>
      <c r="C490" s="35" t="str">
        <f>IF(A490="","",I489)</f>
        <v/>
      </c>
      <c r="D490" s="35" t="str">
        <f>IF(A490="","",C490*Datos!$B$17/Datos!$B$12)</f>
        <v/>
      </c>
      <c r="E490" s="35" t="str">
        <f>IF(A490="","",MIN(Datos!$B$20,C490+D490))</f>
        <v/>
      </c>
      <c r="F490" s="35" t="str">
        <f>IF(A490="","",MAX(0,E490-D490))</f>
        <v/>
      </c>
      <c r="G490" s="36">
        <v>0</v>
      </c>
      <c r="H490" s="35" t="str">
        <f>IF(A490="","",MIN(C490,F490+G490))</f>
        <v/>
      </c>
      <c r="I490" s="35" t="str">
        <f>IF(A490="","",MAX(0,C490-H490))</f>
        <v/>
      </c>
      <c r="J490" s="35" t="str">
        <f>IF(A490="","",D490+H490)</f>
        <v/>
      </c>
    </row>
    <row r="491" spans="1:10" ht="15" customHeight="1">
      <c r="A491" s="32" t="str">
        <f>IF(486&lt;=Datos!$B$13,486,"")</f>
        <v/>
      </c>
      <c r="B491" s="44" t="str">
        <f>IF(A491="","",EDATE(Datos!$B$19,A491-1))</f>
        <v/>
      </c>
      <c r="C491" s="35" t="str">
        <f>IF(A491="","",I490)</f>
        <v/>
      </c>
      <c r="D491" s="35" t="str">
        <f>IF(A491="","",C491*Datos!$B$17/Datos!$B$12)</f>
        <v/>
      </c>
      <c r="E491" s="35" t="str">
        <f>IF(A491="","",MIN(Datos!$B$20,C491+D491))</f>
        <v/>
      </c>
      <c r="F491" s="35" t="str">
        <f>IF(A491="","",MAX(0,E491-D491))</f>
        <v/>
      </c>
      <c r="G491" s="36">
        <v>0</v>
      </c>
      <c r="H491" s="35" t="str">
        <f>IF(A491="","",MIN(C491,F491+G491))</f>
        <v/>
      </c>
      <c r="I491" s="35" t="str">
        <f>IF(A491="","",MAX(0,C491-H491))</f>
        <v/>
      </c>
      <c r="J491" s="35" t="str">
        <f>IF(A491="","",D491+H491)</f>
        <v/>
      </c>
    </row>
    <row r="492" spans="1:10" ht="15" customHeight="1">
      <c r="A492" s="32" t="str">
        <f>IF(487&lt;=Datos!$B$13,487,"")</f>
        <v/>
      </c>
      <c r="B492" s="44" t="str">
        <f>IF(A492="","",EDATE(Datos!$B$19,A492-1))</f>
        <v/>
      </c>
      <c r="C492" s="35" t="str">
        <f>IF(A492="","",I491)</f>
        <v/>
      </c>
      <c r="D492" s="35" t="str">
        <f>IF(A492="","",C492*Datos!$B$17/Datos!$B$12)</f>
        <v/>
      </c>
      <c r="E492" s="35" t="str">
        <f>IF(A492="","",MIN(Datos!$B$20,C492+D492))</f>
        <v/>
      </c>
      <c r="F492" s="35" t="str">
        <f>IF(A492="","",MAX(0,E492-D492))</f>
        <v/>
      </c>
      <c r="G492" s="36">
        <v>0</v>
      </c>
      <c r="H492" s="35" t="str">
        <f>IF(A492="","",MIN(C492,F492+G492))</f>
        <v/>
      </c>
      <c r="I492" s="35" t="str">
        <f>IF(A492="","",MAX(0,C492-H492))</f>
        <v/>
      </c>
      <c r="J492" s="35" t="str">
        <f>IF(A492="","",D492+H492)</f>
        <v/>
      </c>
    </row>
    <row r="493" spans="1:10" ht="15" customHeight="1">
      <c r="A493" s="32" t="str">
        <f>IF(488&lt;=Datos!$B$13,488,"")</f>
        <v/>
      </c>
      <c r="B493" s="44" t="str">
        <f>IF(A493="","",EDATE(Datos!$B$19,A493-1))</f>
        <v/>
      </c>
      <c r="C493" s="35" t="str">
        <f>IF(A493="","",I492)</f>
        <v/>
      </c>
      <c r="D493" s="35" t="str">
        <f>IF(A493="","",C493*Datos!$B$17/Datos!$B$12)</f>
        <v/>
      </c>
      <c r="E493" s="35" t="str">
        <f>IF(A493="","",MIN(Datos!$B$20,C493+D493))</f>
        <v/>
      </c>
      <c r="F493" s="35" t="str">
        <f>IF(A493="","",MAX(0,E493-D493))</f>
        <v/>
      </c>
      <c r="G493" s="36">
        <v>0</v>
      </c>
      <c r="H493" s="35" t="str">
        <f>IF(A493="","",MIN(C493,F493+G493))</f>
        <v/>
      </c>
      <c r="I493" s="35" t="str">
        <f>IF(A493="","",MAX(0,C493-H493))</f>
        <v/>
      </c>
      <c r="J493" s="35" t="str">
        <f>IF(A493="","",D493+H493)</f>
        <v/>
      </c>
    </row>
    <row r="494" spans="1:10" ht="15" customHeight="1">
      <c r="A494" s="32" t="str">
        <f>IF(489&lt;=Datos!$B$13,489,"")</f>
        <v/>
      </c>
      <c r="B494" s="44" t="str">
        <f>IF(A494="","",EDATE(Datos!$B$19,A494-1))</f>
        <v/>
      </c>
      <c r="C494" s="35" t="str">
        <f>IF(A494="","",I493)</f>
        <v/>
      </c>
      <c r="D494" s="35" t="str">
        <f>IF(A494="","",C494*Datos!$B$17/Datos!$B$12)</f>
        <v/>
      </c>
      <c r="E494" s="35" t="str">
        <f>IF(A494="","",MIN(Datos!$B$20,C494+D494))</f>
        <v/>
      </c>
      <c r="F494" s="35" t="str">
        <f>IF(A494="","",MAX(0,E494-D494))</f>
        <v/>
      </c>
      <c r="G494" s="36">
        <v>0</v>
      </c>
      <c r="H494" s="35" t="str">
        <f>IF(A494="","",MIN(C494,F494+G494))</f>
        <v/>
      </c>
      <c r="I494" s="35" t="str">
        <f>IF(A494="","",MAX(0,C494-H494))</f>
        <v/>
      </c>
      <c r="J494" s="35" t="str">
        <f>IF(A494="","",D494+H494)</f>
        <v/>
      </c>
    </row>
    <row r="495" spans="1:10" ht="15" customHeight="1">
      <c r="A495" s="32" t="str">
        <f>IF(490&lt;=Datos!$B$13,490,"")</f>
        <v/>
      </c>
      <c r="B495" s="44" t="str">
        <f>IF(A495="","",EDATE(Datos!$B$19,A495-1))</f>
        <v/>
      </c>
      <c r="C495" s="35" t="str">
        <f>IF(A495="","",I494)</f>
        <v/>
      </c>
      <c r="D495" s="35" t="str">
        <f>IF(A495="","",C495*Datos!$B$17/Datos!$B$12)</f>
        <v/>
      </c>
      <c r="E495" s="35" t="str">
        <f>IF(A495="","",MIN(Datos!$B$20,C495+D495))</f>
        <v/>
      </c>
      <c r="F495" s="35" t="str">
        <f>IF(A495="","",MAX(0,E495-D495))</f>
        <v/>
      </c>
      <c r="G495" s="36">
        <v>0</v>
      </c>
      <c r="H495" s="35" t="str">
        <f>IF(A495="","",MIN(C495,F495+G495))</f>
        <v/>
      </c>
      <c r="I495" s="35" t="str">
        <f>IF(A495="","",MAX(0,C495-H495))</f>
        <v/>
      </c>
      <c r="J495" s="35" t="str">
        <f>IF(A495="","",D495+H495)</f>
        <v/>
      </c>
    </row>
    <row r="496" spans="1:10" ht="15" customHeight="1">
      <c r="A496" s="32" t="str">
        <f>IF(491&lt;=Datos!$B$13,491,"")</f>
        <v/>
      </c>
      <c r="B496" s="44" t="str">
        <f>IF(A496="","",EDATE(Datos!$B$19,A496-1))</f>
        <v/>
      </c>
      <c r="C496" s="35" t="str">
        <f>IF(A496="","",I495)</f>
        <v/>
      </c>
      <c r="D496" s="35" t="str">
        <f>IF(A496="","",C496*Datos!$B$17/Datos!$B$12)</f>
        <v/>
      </c>
      <c r="E496" s="35" t="str">
        <f>IF(A496="","",MIN(Datos!$B$20,C496+D496))</f>
        <v/>
      </c>
      <c r="F496" s="35" t="str">
        <f>IF(A496="","",MAX(0,E496-D496))</f>
        <v/>
      </c>
      <c r="G496" s="36">
        <v>0</v>
      </c>
      <c r="H496" s="35" t="str">
        <f>IF(A496="","",MIN(C496,F496+G496))</f>
        <v/>
      </c>
      <c r="I496" s="35" t="str">
        <f>IF(A496="","",MAX(0,C496-H496))</f>
        <v/>
      </c>
      <c r="J496" s="35" t="str">
        <f>IF(A496="","",D496+H496)</f>
        <v/>
      </c>
    </row>
    <row r="497" spans="1:10" ht="15" customHeight="1">
      <c r="A497" s="32" t="str">
        <f>IF(492&lt;=Datos!$B$13,492,"")</f>
        <v/>
      </c>
      <c r="B497" s="44" t="str">
        <f>IF(A497="","",EDATE(Datos!$B$19,A497-1))</f>
        <v/>
      </c>
      <c r="C497" s="35" t="str">
        <f>IF(A497="","",I496)</f>
        <v/>
      </c>
      <c r="D497" s="35" t="str">
        <f>IF(A497="","",C497*Datos!$B$17/Datos!$B$12)</f>
        <v/>
      </c>
      <c r="E497" s="35" t="str">
        <f>IF(A497="","",MIN(Datos!$B$20,C497+D497))</f>
        <v/>
      </c>
      <c r="F497" s="35" t="str">
        <f>IF(A497="","",MAX(0,E497-D497))</f>
        <v/>
      </c>
      <c r="G497" s="36">
        <v>0</v>
      </c>
      <c r="H497" s="35" t="str">
        <f>IF(A497="","",MIN(C497,F497+G497))</f>
        <v/>
      </c>
      <c r="I497" s="35" t="str">
        <f>IF(A497="","",MAX(0,C497-H497))</f>
        <v/>
      </c>
      <c r="J497" s="35" t="str">
        <f>IF(A497="","",D497+H497)</f>
        <v/>
      </c>
    </row>
    <row r="498" spans="1:10" ht="15" customHeight="1">
      <c r="A498" s="32" t="str">
        <f>IF(493&lt;=Datos!$B$13,493,"")</f>
        <v/>
      </c>
      <c r="B498" s="44" t="str">
        <f>IF(A498="","",EDATE(Datos!$B$19,A498-1))</f>
        <v/>
      </c>
      <c r="C498" s="35" t="str">
        <f>IF(A498="","",I497)</f>
        <v/>
      </c>
      <c r="D498" s="35" t="str">
        <f>IF(A498="","",C498*Datos!$B$17/Datos!$B$12)</f>
        <v/>
      </c>
      <c r="E498" s="35" t="str">
        <f>IF(A498="","",MIN(Datos!$B$20,C498+D498))</f>
        <v/>
      </c>
      <c r="F498" s="35" t="str">
        <f>IF(A498="","",MAX(0,E498-D498))</f>
        <v/>
      </c>
      <c r="G498" s="36">
        <v>0</v>
      </c>
      <c r="H498" s="35" t="str">
        <f>IF(A498="","",MIN(C498,F498+G498))</f>
        <v/>
      </c>
      <c r="I498" s="35" t="str">
        <f>IF(A498="","",MAX(0,C498-H498))</f>
        <v/>
      </c>
      <c r="J498" s="35" t="str">
        <f>IF(A498="","",D498+H498)</f>
        <v/>
      </c>
    </row>
    <row r="499" spans="1:10" ht="15" customHeight="1">
      <c r="A499" s="32" t="str">
        <f>IF(494&lt;=Datos!$B$13,494,"")</f>
        <v/>
      </c>
      <c r="B499" s="44" t="str">
        <f>IF(A499="","",EDATE(Datos!$B$19,A499-1))</f>
        <v/>
      </c>
      <c r="C499" s="35" t="str">
        <f>IF(A499="","",I498)</f>
        <v/>
      </c>
      <c r="D499" s="35" t="str">
        <f>IF(A499="","",C499*Datos!$B$17/Datos!$B$12)</f>
        <v/>
      </c>
      <c r="E499" s="35" t="str">
        <f>IF(A499="","",MIN(Datos!$B$20,C499+D499))</f>
        <v/>
      </c>
      <c r="F499" s="35" t="str">
        <f>IF(A499="","",MAX(0,E499-D499))</f>
        <v/>
      </c>
      <c r="G499" s="36">
        <v>0</v>
      </c>
      <c r="H499" s="35" t="str">
        <f>IF(A499="","",MIN(C499,F499+G499))</f>
        <v/>
      </c>
      <c r="I499" s="35" t="str">
        <f>IF(A499="","",MAX(0,C499-H499))</f>
        <v/>
      </c>
      <c r="J499" s="35" t="str">
        <f>IF(A499="","",D499+H499)</f>
        <v/>
      </c>
    </row>
    <row r="500" spans="1:10" ht="15" customHeight="1">
      <c r="A500" s="32" t="str">
        <f>IF(495&lt;=Datos!$B$13,495,"")</f>
        <v/>
      </c>
      <c r="B500" s="44" t="str">
        <f>IF(A500="","",EDATE(Datos!$B$19,A500-1))</f>
        <v/>
      </c>
      <c r="C500" s="35" t="str">
        <f>IF(A500="","",I499)</f>
        <v/>
      </c>
      <c r="D500" s="35" t="str">
        <f>IF(A500="","",C500*Datos!$B$17/Datos!$B$12)</f>
        <v/>
      </c>
      <c r="E500" s="35" t="str">
        <f>IF(A500="","",MIN(Datos!$B$20,C500+D500))</f>
        <v/>
      </c>
      <c r="F500" s="35" t="str">
        <f>IF(A500="","",MAX(0,E500-D500))</f>
        <v/>
      </c>
      <c r="G500" s="36">
        <v>0</v>
      </c>
      <c r="H500" s="35" t="str">
        <f>IF(A500="","",MIN(C500,F500+G500))</f>
        <v/>
      </c>
      <c r="I500" s="35" t="str">
        <f>IF(A500="","",MAX(0,C500-H500))</f>
        <v/>
      </c>
      <c r="J500" s="35" t="str">
        <f>IF(A500="","",D500+H500)</f>
        <v/>
      </c>
    </row>
    <row r="501" spans="1:10" ht="15" customHeight="1">
      <c r="A501" s="32" t="str">
        <f>IF(496&lt;=Datos!$B$13,496,"")</f>
        <v/>
      </c>
      <c r="B501" s="44" t="str">
        <f>IF(A501="","",EDATE(Datos!$B$19,A501-1))</f>
        <v/>
      </c>
      <c r="C501" s="35" t="str">
        <f>IF(A501="","",I500)</f>
        <v/>
      </c>
      <c r="D501" s="35" t="str">
        <f>IF(A501="","",C501*Datos!$B$17/Datos!$B$12)</f>
        <v/>
      </c>
      <c r="E501" s="35" t="str">
        <f>IF(A501="","",MIN(Datos!$B$20,C501+D501))</f>
        <v/>
      </c>
      <c r="F501" s="35" t="str">
        <f>IF(A501="","",MAX(0,E501-D501))</f>
        <v/>
      </c>
      <c r="G501" s="36">
        <v>0</v>
      </c>
      <c r="H501" s="35" t="str">
        <f>IF(A501="","",MIN(C501,F501+G501))</f>
        <v/>
      </c>
      <c r="I501" s="35" t="str">
        <f>IF(A501="","",MAX(0,C501-H501))</f>
        <v/>
      </c>
      <c r="J501" s="35" t="str">
        <f>IF(A501="","",D501+H501)</f>
        <v/>
      </c>
    </row>
    <row r="502" spans="1:10" ht="15" customHeight="1">
      <c r="A502" s="32" t="str">
        <f>IF(497&lt;=Datos!$B$13,497,"")</f>
        <v/>
      </c>
      <c r="B502" s="44" t="str">
        <f>IF(A502="","",EDATE(Datos!$B$19,A502-1))</f>
        <v/>
      </c>
      <c r="C502" s="35" t="str">
        <f>IF(A502="","",I501)</f>
        <v/>
      </c>
      <c r="D502" s="35" t="str">
        <f>IF(A502="","",C502*Datos!$B$17/Datos!$B$12)</f>
        <v/>
      </c>
      <c r="E502" s="35" t="str">
        <f>IF(A502="","",MIN(Datos!$B$20,C502+D502))</f>
        <v/>
      </c>
      <c r="F502" s="35" t="str">
        <f>IF(A502="","",MAX(0,E502-D502))</f>
        <v/>
      </c>
      <c r="G502" s="36">
        <v>0</v>
      </c>
      <c r="H502" s="35" t="str">
        <f>IF(A502="","",MIN(C502,F502+G502))</f>
        <v/>
      </c>
      <c r="I502" s="35" t="str">
        <f>IF(A502="","",MAX(0,C502-H502))</f>
        <v/>
      </c>
      <c r="J502" s="35" t="str">
        <f>IF(A502="","",D502+H502)</f>
        <v/>
      </c>
    </row>
    <row r="503" spans="1:10" ht="15" customHeight="1">
      <c r="A503" s="32" t="str">
        <f>IF(498&lt;=Datos!$B$13,498,"")</f>
        <v/>
      </c>
      <c r="B503" s="44" t="str">
        <f>IF(A503="","",EDATE(Datos!$B$19,A503-1))</f>
        <v/>
      </c>
      <c r="C503" s="35" t="str">
        <f>IF(A503="","",I502)</f>
        <v/>
      </c>
      <c r="D503" s="35" t="str">
        <f>IF(A503="","",C503*Datos!$B$17/Datos!$B$12)</f>
        <v/>
      </c>
      <c r="E503" s="35" t="str">
        <f>IF(A503="","",MIN(Datos!$B$20,C503+D503))</f>
        <v/>
      </c>
      <c r="F503" s="35" t="str">
        <f>IF(A503="","",MAX(0,E503-D503))</f>
        <v/>
      </c>
      <c r="G503" s="36">
        <v>0</v>
      </c>
      <c r="H503" s="35" t="str">
        <f>IF(A503="","",MIN(C503,F503+G503))</f>
        <v/>
      </c>
      <c r="I503" s="35" t="str">
        <f>IF(A503="","",MAX(0,C503-H503))</f>
        <v/>
      </c>
      <c r="J503" s="35" t="str">
        <f>IF(A503="","",D503+H503)</f>
        <v/>
      </c>
    </row>
    <row r="504" spans="1:10" ht="15" customHeight="1">
      <c r="A504" s="32" t="str">
        <f>IF(499&lt;=Datos!$B$13,499,"")</f>
        <v/>
      </c>
      <c r="B504" s="44" t="str">
        <f>IF(A504="","",EDATE(Datos!$B$19,A504-1))</f>
        <v/>
      </c>
      <c r="C504" s="35" t="str">
        <f>IF(A504="","",I503)</f>
        <v/>
      </c>
      <c r="D504" s="35" t="str">
        <f>IF(A504="","",C504*Datos!$B$17/Datos!$B$12)</f>
        <v/>
      </c>
      <c r="E504" s="35" t="str">
        <f>IF(A504="","",MIN(Datos!$B$20,C504+D504))</f>
        <v/>
      </c>
      <c r="F504" s="35" t="str">
        <f>IF(A504="","",MAX(0,E504-D504))</f>
        <v/>
      </c>
      <c r="G504" s="36">
        <v>0</v>
      </c>
      <c r="H504" s="35" t="str">
        <f>IF(A504="","",MIN(C504,F504+G504))</f>
        <v/>
      </c>
      <c r="I504" s="35" t="str">
        <f>IF(A504="","",MAX(0,C504-H504))</f>
        <v/>
      </c>
      <c r="J504" s="35" t="str">
        <f>IF(A504="","",D504+H504)</f>
        <v/>
      </c>
    </row>
    <row r="505" spans="1:10" ht="15" customHeight="1">
      <c r="A505" s="32" t="str">
        <f>IF(500&lt;=Datos!$B$13,500,"")</f>
        <v/>
      </c>
      <c r="B505" s="44" t="str">
        <f>IF(A505="","",EDATE(Datos!$B$19,A505-1))</f>
        <v/>
      </c>
      <c r="C505" s="35" t="str">
        <f>IF(A505="","",I504)</f>
        <v/>
      </c>
      <c r="D505" s="35" t="str">
        <f>IF(A505="","",C505*Datos!$B$17/Datos!$B$12)</f>
        <v/>
      </c>
      <c r="E505" s="35" t="str">
        <f>IF(A505="","",MIN(Datos!$B$20,C505+D505))</f>
        <v/>
      </c>
      <c r="F505" s="35" t="str">
        <f>IF(A505="","",MAX(0,E505-D505))</f>
        <v/>
      </c>
      <c r="G505" s="36">
        <v>0</v>
      </c>
      <c r="H505" s="35" t="str">
        <f>IF(A505="","",MIN(C505,F505+G505))</f>
        <v/>
      </c>
      <c r="I505" s="35" t="str">
        <f>IF(A505="","",MAX(0,C505-H505))</f>
        <v/>
      </c>
      <c r="J505" s="35" t="str">
        <f>IF(A505="","",D505+H505)</f>
        <v/>
      </c>
    </row>
    <row r="506" spans="1:10" ht="15" customHeight="1">
      <c r="A506" s="32" t="str">
        <f>IF(501&lt;=Datos!$B$13,501,"")</f>
        <v/>
      </c>
      <c r="B506" s="44" t="str">
        <f>IF(A506="","",EDATE(Datos!$B$19,A506-1))</f>
        <v/>
      </c>
      <c r="C506" s="35" t="str">
        <f>IF(A506="","",I505)</f>
        <v/>
      </c>
      <c r="D506" s="35" t="str">
        <f>IF(A506="","",C506*Datos!$B$17/Datos!$B$12)</f>
        <v/>
      </c>
      <c r="E506" s="35" t="str">
        <f>IF(A506="","",MIN(Datos!$B$20,C506+D506))</f>
        <v/>
      </c>
      <c r="F506" s="35" t="str">
        <f>IF(A506="","",MAX(0,E506-D506))</f>
        <v/>
      </c>
      <c r="G506" s="36">
        <v>0</v>
      </c>
      <c r="H506" s="35" t="str">
        <f>IF(A506="","",MIN(C506,F506+G506))</f>
        <v/>
      </c>
      <c r="I506" s="35" t="str">
        <f>IF(A506="","",MAX(0,C506-H506))</f>
        <v/>
      </c>
      <c r="J506" s="35" t="str">
        <f>IF(A506="","",D506+H506)</f>
        <v/>
      </c>
    </row>
    <row r="507" spans="1:10" ht="15" customHeight="1">
      <c r="A507" s="32" t="str">
        <f>IF(502&lt;=Datos!$B$13,502,"")</f>
        <v/>
      </c>
      <c r="B507" s="44" t="str">
        <f>IF(A507="","",EDATE(Datos!$B$19,A507-1))</f>
        <v/>
      </c>
      <c r="C507" s="35" t="str">
        <f>IF(A507="","",I506)</f>
        <v/>
      </c>
      <c r="D507" s="35" t="str">
        <f>IF(A507="","",C507*Datos!$B$17/Datos!$B$12)</f>
        <v/>
      </c>
      <c r="E507" s="35" t="str">
        <f>IF(A507="","",MIN(Datos!$B$20,C507+D507))</f>
        <v/>
      </c>
      <c r="F507" s="35" t="str">
        <f>IF(A507="","",MAX(0,E507-D507))</f>
        <v/>
      </c>
      <c r="G507" s="36">
        <v>0</v>
      </c>
      <c r="H507" s="35" t="str">
        <f>IF(A507="","",MIN(C507,F507+G507))</f>
        <v/>
      </c>
      <c r="I507" s="35" t="str">
        <f>IF(A507="","",MAX(0,C507-H507))</f>
        <v/>
      </c>
      <c r="J507" s="35" t="str">
        <f>IF(A507="","",D507+H507)</f>
        <v/>
      </c>
    </row>
    <row r="508" spans="1:10" ht="15" customHeight="1">
      <c r="A508" s="32" t="str">
        <f>IF(503&lt;=Datos!$B$13,503,"")</f>
        <v/>
      </c>
      <c r="B508" s="44" t="str">
        <f>IF(A508="","",EDATE(Datos!$B$19,A508-1))</f>
        <v/>
      </c>
      <c r="C508" s="35" t="str">
        <f>IF(A508="","",I507)</f>
        <v/>
      </c>
      <c r="D508" s="35" t="str">
        <f>IF(A508="","",C508*Datos!$B$17/Datos!$B$12)</f>
        <v/>
      </c>
      <c r="E508" s="35" t="str">
        <f>IF(A508="","",MIN(Datos!$B$20,C508+D508))</f>
        <v/>
      </c>
      <c r="F508" s="35" t="str">
        <f>IF(A508="","",MAX(0,E508-D508))</f>
        <v/>
      </c>
      <c r="G508" s="36">
        <v>0</v>
      </c>
      <c r="H508" s="35" t="str">
        <f>IF(A508="","",MIN(C508,F508+G508))</f>
        <v/>
      </c>
      <c r="I508" s="35" t="str">
        <f>IF(A508="","",MAX(0,C508-H508))</f>
        <v/>
      </c>
      <c r="J508" s="35" t="str">
        <f>IF(A508="","",D508+H508)</f>
        <v/>
      </c>
    </row>
    <row r="509" spans="1:10" ht="15" customHeight="1">
      <c r="A509" s="32" t="str">
        <f>IF(504&lt;=Datos!$B$13,504,"")</f>
        <v/>
      </c>
      <c r="B509" s="44" t="str">
        <f>IF(A509="","",EDATE(Datos!$B$19,A509-1))</f>
        <v/>
      </c>
      <c r="C509" s="35" t="str">
        <f>IF(A509="","",I508)</f>
        <v/>
      </c>
      <c r="D509" s="35" t="str">
        <f>IF(A509="","",C509*Datos!$B$17/Datos!$B$12)</f>
        <v/>
      </c>
      <c r="E509" s="35" t="str">
        <f>IF(A509="","",MIN(Datos!$B$20,C509+D509))</f>
        <v/>
      </c>
      <c r="F509" s="35" t="str">
        <f>IF(A509="","",MAX(0,E509-D509))</f>
        <v/>
      </c>
      <c r="G509" s="36">
        <v>0</v>
      </c>
      <c r="H509" s="35" t="str">
        <f>IF(A509="","",MIN(C509,F509+G509))</f>
        <v/>
      </c>
      <c r="I509" s="35" t="str">
        <f>IF(A509="","",MAX(0,C509-H509))</f>
        <v/>
      </c>
      <c r="J509" s="35" t="str">
        <f>IF(A509="","",D509+H509)</f>
        <v/>
      </c>
    </row>
    <row r="510" spans="1:10" ht="15" customHeight="1">
      <c r="A510" s="32" t="str">
        <f>IF(505&lt;=Datos!$B$13,505,"")</f>
        <v/>
      </c>
      <c r="B510" s="44" t="str">
        <f>IF(A510="","",EDATE(Datos!$B$19,A510-1))</f>
        <v/>
      </c>
      <c r="C510" s="35" t="str">
        <f>IF(A510="","",I509)</f>
        <v/>
      </c>
      <c r="D510" s="35" t="str">
        <f>IF(A510="","",C510*Datos!$B$17/Datos!$B$12)</f>
        <v/>
      </c>
      <c r="E510" s="35" t="str">
        <f>IF(A510="","",MIN(Datos!$B$20,C510+D510))</f>
        <v/>
      </c>
      <c r="F510" s="35" t="str">
        <f>IF(A510="","",MAX(0,E510-D510))</f>
        <v/>
      </c>
      <c r="G510" s="36">
        <v>0</v>
      </c>
      <c r="H510" s="35" t="str">
        <f>IF(A510="","",MIN(C510,F510+G510))</f>
        <v/>
      </c>
      <c r="I510" s="35" t="str">
        <f>IF(A510="","",MAX(0,C510-H510))</f>
        <v/>
      </c>
      <c r="J510" s="35" t="str">
        <f>IF(A510="","",D510+H510)</f>
        <v/>
      </c>
    </row>
    <row r="511" spans="1:10" ht="15" customHeight="1">
      <c r="A511" s="32" t="str">
        <f>IF(506&lt;=Datos!$B$13,506,"")</f>
        <v/>
      </c>
      <c r="B511" s="44" t="str">
        <f>IF(A511="","",EDATE(Datos!$B$19,A511-1))</f>
        <v/>
      </c>
      <c r="C511" s="35" t="str">
        <f>IF(A511="","",I510)</f>
        <v/>
      </c>
      <c r="D511" s="35" t="str">
        <f>IF(A511="","",C511*Datos!$B$17/Datos!$B$12)</f>
        <v/>
      </c>
      <c r="E511" s="35" t="str">
        <f>IF(A511="","",MIN(Datos!$B$20,C511+D511))</f>
        <v/>
      </c>
      <c r="F511" s="35" t="str">
        <f>IF(A511="","",MAX(0,E511-D511))</f>
        <v/>
      </c>
      <c r="G511" s="36">
        <v>0</v>
      </c>
      <c r="H511" s="35" t="str">
        <f>IF(A511="","",MIN(C511,F511+G511))</f>
        <v/>
      </c>
      <c r="I511" s="35" t="str">
        <f>IF(A511="","",MAX(0,C511-H511))</f>
        <v/>
      </c>
      <c r="J511" s="35" t="str">
        <f>IF(A511="","",D511+H511)</f>
        <v/>
      </c>
    </row>
    <row r="512" spans="1:10" ht="15" customHeight="1">
      <c r="A512" s="32" t="str">
        <f>IF(507&lt;=Datos!$B$13,507,"")</f>
        <v/>
      </c>
      <c r="B512" s="44" t="str">
        <f>IF(A512="","",EDATE(Datos!$B$19,A512-1))</f>
        <v/>
      </c>
      <c r="C512" s="35" t="str">
        <f>IF(A512="","",I511)</f>
        <v/>
      </c>
      <c r="D512" s="35" t="str">
        <f>IF(A512="","",C512*Datos!$B$17/Datos!$B$12)</f>
        <v/>
      </c>
      <c r="E512" s="35" t="str">
        <f>IF(A512="","",MIN(Datos!$B$20,C512+D512))</f>
        <v/>
      </c>
      <c r="F512" s="35" t="str">
        <f>IF(A512="","",MAX(0,E512-D512))</f>
        <v/>
      </c>
      <c r="G512" s="36">
        <v>0</v>
      </c>
      <c r="H512" s="35" t="str">
        <f>IF(A512="","",MIN(C512,F512+G512))</f>
        <v/>
      </c>
      <c r="I512" s="35" t="str">
        <f>IF(A512="","",MAX(0,C512-H512))</f>
        <v/>
      </c>
      <c r="J512" s="35" t="str">
        <f>IF(A512="","",D512+H512)</f>
        <v/>
      </c>
    </row>
    <row r="513" spans="1:10" ht="15" customHeight="1">
      <c r="A513" s="32" t="str">
        <f>IF(508&lt;=Datos!$B$13,508,"")</f>
        <v/>
      </c>
      <c r="B513" s="44" t="str">
        <f>IF(A513="","",EDATE(Datos!$B$19,A513-1))</f>
        <v/>
      </c>
      <c r="C513" s="35" t="str">
        <f>IF(A513="","",I512)</f>
        <v/>
      </c>
      <c r="D513" s="35" t="str">
        <f>IF(A513="","",C513*Datos!$B$17/Datos!$B$12)</f>
        <v/>
      </c>
      <c r="E513" s="35" t="str">
        <f>IF(A513="","",MIN(Datos!$B$20,C513+D513))</f>
        <v/>
      </c>
      <c r="F513" s="35" t="str">
        <f>IF(A513="","",MAX(0,E513-D513))</f>
        <v/>
      </c>
      <c r="G513" s="36">
        <v>0</v>
      </c>
      <c r="H513" s="35" t="str">
        <f>IF(A513="","",MIN(C513,F513+G513))</f>
        <v/>
      </c>
      <c r="I513" s="35" t="str">
        <f>IF(A513="","",MAX(0,C513-H513))</f>
        <v/>
      </c>
      <c r="J513" s="35" t="str">
        <f>IF(A513="","",D513+H513)</f>
        <v/>
      </c>
    </row>
    <row r="514" spans="1:10" ht="15" customHeight="1">
      <c r="A514" s="32" t="str">
        <f>IF(509&lt;=Datos!$B$13,509,"")</f>
        <v/>
      </c>
      <c r="B514" s="44" t="str">
        <f>IF(A514="","",EDATE(Datos!$B$19,A514-1))</f>
        <v/>
      </c>
      <c r="C514" s="35" t="str">
        <f>IF(A514="","",I513)</f>
        <v/>
      </c>
      <c r="D514" s="35" t="str">
        <f>IF(A514="","",C514*Datos!$B$17/Datos!$B$12)</f>
        <v/>
      </c>
      <c r="E514" s="35" t="str">
        <f>IF(A514="","",MIN(Datos!$B$20,C514+D514))</f>
        <v/>
      </c>
      <c r="F514" s="35" t="str">
        <f>IF(A514="","",MAX(0,E514-D514))</f>
        <v/>
      </c>
      <c r="G514" s="36">
        <v>0</v>
      </c>
      <c r="H514" s="35" t="str">
        <f>IF(A514="","",MIN(C514,F514+G514))</f>
        <v/>
      </c>
      <c r="I514" s="35" t="str">
        <f>IF(A514="","",MAX(0,C514-H514))</f>
        <v/>
      </c>
      <c r="J514" s="35" t="str">
        <f>IF(A514="","",D514+H514)</f>
        <v/>
      </c>
    </row>
    <row r="515" spans="1:10" ht="15" customHeight="1">
      <c r="A515" s="32" t="str">
        <f>IF(510&lt;=Datos!$B$13,510,"")</f>
        <v/>
      </c>
      <c r="B515" s="44" t="str">
        <f>IF(A515="","",EDATE(Datos!$B$19,A515-1))</f>
        <v/>
      </c>
      <c r="C515" s="35" t="str">
        <f>IF(A515="","",I514)</f>
        <v/>
      </c>
      <c r="D515" s="35" t="str">
        <f>IF(A515="","",C515*Datos!$B$17/Datos!$B$12)</f>
        <v/>
      </c>
      <c r="E515" s="35" t="str">
        <f>IF(A515="","",MIN(Datos!$B$20,C515+D515))</f>
        <v/>
      </c>
      <c r="F515" s="35" t="str">
        <f>IF(A515="","",MAX(0,E515-D515))</f>
        <v/>
      </c>
      <c r="G515" s="36">
        <v>0</v>
      </c>
      <c r="H515" s="35" t="str">
        <f>IF(A515="","",MIN(C515,F515+G515))</f>
        <v/>
      </c>
      <c r="I515" s="35" t="str">
        <f>IF(A515="","",MAX(0,C515-H515))</f>
        <v/>
      </c>
      <c r="J515" s="35" t="str">
        <f>IF(A515="","",D515+H515)</f>
        <v/>
      </c>
    </row>
    <row r="516" spans="1:10" ht="15" customHeight="1">
      <c r="A516" s="32" t="str">
        <f>IF(511&lt;=Datos!$B$13,511,"")</f>
        <v/>
      </c>
      <c r="B516" s="44" t="str">
        <f>IF(A516="","",EDATE(Datos!$B$19,A516-1))</f>
        <v/>
      </c>
      <c r="C516" s="35" t="str">
        <f>IF(A516="","",I515)</f>
        <v/>
      </c>
      <c r="D516" s="35" t="str">
        <f>IF(A516="","",C516*Datos!$B$17/Datos!$B$12)</f>
        <v/>
      </c>
      <c r="E516" s="35" t="str">
        <f>IF(A516="","",MIN(Datos!$B$20,C516+D516))</f>
        <v/>
      </c>
      <c r="F516" s="35" t="str">
        <f>IF(A516="","",MAX(0,E516-D516))</f>
        <v/>
      </c>
      <c r="G516" s="36">
        <v>0</v>
      </c>
      <c r="H516" s="35" t="str">
        <f>IF(A516="","",MIN(C516,F516+G516))</f>
        <v/>
      </c>
      <c r="I516" s="35" t="str">
        <f>IF(A516="","",MAX(0,C516-H516))</f>
        <v/>
      </c>
      <c r="J516" s="35" t="str">
        <f>IF(A516="","",D516+H516)</f>
        <v/>
      </c>
    </row>
    <row r="517" spans="1:10" ht="15" customHeight="1">
      <c r="A517" s="32" t="str">
        <f>IF(512&lt;=Datos!$B$13,512,"")</f>
        <v/>
      </c>
      <c r="B517" s="44" t="str">
        <f>IF(A517="","",EDATE(Datos!$B$19,A517-1))</f>
        <v/>
      </c>
      <c r="C517" s="35" t="str">
        <f>IF(A517="","",I516)</f>
        <v/>
      </c>
      <c r="D517" s="35" t="str">
        <f>IF(A517="","",C517*Datos!$B$17/Datos!$B$12)</f>
        <v/>
      </c>
      <c r="E517" s="35" t="str">
        <f>IF(A517="","",MIN(Datos!$B$20,C517+D517))</f>
        <v/>
      </c>
      <c r="F517" s="35" t="str">
        <f>IF(A517="","",MAX(0,E517-D517))</f>
        <v/>
      </c>
      <c r="G517" s="36">
        <v>0</v>
      </c>
      <c r="H517" s="35" t="str">
        <f>IF(A517="","",MIN(C517,F517+G517))</f>
        <v/>
      </c>
      <c r="I517" s="35" t="str">
        <f>IF(A517="","",MAX(0,C517-H517))</f>
        <v/>
      </c>
      <c r="J517" s="35" t="str">
        <f>IF(A517="","",D517+H517)</f>
        <v/>
      </c>
    </row>
    <row r="518" spans="1:10" ht="15" customHeight="1">
      <c r="A518" s="32" t="str">
        <f>IF(513&lt;=Datos!$B$13,513,"")</f>
        <v/>
      </c>
      <c r="B518" s="44" t="str">
        <f>IF(A518="","",EDATE(Datos!$B$19,A518-1))</f>
        <v/>
      </c>
      <c r="C518" s="35" t="str">
        <f>IF(A518="","",I517)</f>
        <v/>
      </c>
      <c r="D518" s="35" t="str">
        <f>IF(A518="","",C518*Datos!$B$17/Datos!$B$12)</f>
        <v/>
      </c>
      <c r="E518" s="35" t="str">
        <f>IF(A518="","",MIN(Datos!$B$20,C518+D518))</f>
        <v/>
      </c>
      <c r="F518" s="35" t="str">
        <f>IF(A518="","",MAX(0,E518-D518))</f>
        <v/>
      </c>
      <c r="G518" s="36">
        <v>0</v>
      </c>
      <c r="H518" s="35" t="str">
        <f>IF(A518="","",MIN(C518,F518+G518))</f>
        <v/>
      </c>
      <c r="I518" s="35" t="str">
        <f>IF(A518="","",MAX(0,C518-H518))</f>
        <v/>
      </c>
      <c r="J518" s="35" t="str">
        <f>IF(A518="","",D518+H518)</f>
        <v/>
      </c>
    </row>
    <row r="519" spans="1:10" ht="15" customHeight="1">
      <c r="A519" s="32" t="str">
        <f>IF(514&lt;=Datos!$B$13,514,"")</f>
        <v/>
      </c>
      <c r="B519" s="44" t="str">
        <f>IF(A519="","",EDATE(Datos!$B$19,A519-1))</f>
        <v/>
      </c>
      <c r="C519" s="35" t="str">
        <f>IF(A519="","",I518)</f>
        <v/>
      </c>
      <c r="D519" s="35" t="str">
        <f>IF(A519="","",C519*Datos!$B$17/Datos!$B$12)</f>
        <v/>
      </c>
      <c r="E519" s="35" t="str">
        <f>IF(A519="","",MIN(Datos!$B$20,C519+D519))</f>
        <v/>
      </c>
      <c r="F519" s="35" t="str">
        <f>IF(A519="","",MAX(0,E519-D519))</f>
        <v/>
      </c>
      <c r="G519" s="36">
        <v>0</v>
      </c>
      <c r="H519" s="35" t="str">
        <f>IF(A519="","",MIN(C519,F519+G519))</f>
        <v/>
      </c>
      <c r="I519" s="35" t="str">
        <f>IF(A519="","",MAX(0,C519-H519))</f>
        <v/>
      </c>
      <c r="J519" s="35" t="str">
        <f>IF(A519="","",D519+H519)</f>
        <v/>
      </c>
    </row>
    <row r="520" spans="1:10" ht="15" customHeight="1">
      <c r="A520" s="32" t="str">
        <f>IF(515&lt;=Datos!$B$13,515,"")</f>
        <v/>
      </c>
      <c r="B520" s="44" t="str">
        <f>IF(A520="","",EDATE(Datos!$B$19,A520-1))</f>
        <v/>
      </c>
      <c r="C520" s="35" t="str">
        <f>IF(A520="","",I519)</f>
        <v/>
      </c>
      <c r="D520" s="35" t="str">
        <f>IF(A520="","",C520*Datos!$B$17/Datos!$B$12)</f>
        <v/>
      </c>
      <c r="E520" s="35" t="str">
        <f>IF(A520="","",MIN(Datos!$B$20,C520+D520))</f>
        <v/>
      </c>
      <c r="F520" s="35" t="str">
        <f>IF(A520="","",MAX(0,E520-D520))</f>
        <v/>
      </c>
      <c r="G520" s="36">
        <v>0</v>
      </c>
      <c r="H520" s="35" t="str">
        <f>IF(A520="","",MIN(C520,F520+G520))</f>
        <v/>
      </c>
      <c r="I520" s="35" t="str">
        <f>IF(A520="","",MAX(0,C520-H520))</f>
        <v/>
      </c>
      <c r="J520" s="35" t="str">
        <f>IF(A520="","",D520+H520)</f>
        <v/>
      </c>
    </row>
    <row r="521" spans="1:10" ht="15" customHeight="1">
      <c r="A521" s="32" t="str">
        <f>IF(516&lt;=Datos!$B$13,516,"")</f>
        <v/>
      </c>
      <c r="B521" s="44" t="str">
        <f>IF(A521="","",EDATE(Datos!$B$19,A521-1))</f>
        <v/>
      </c>
      <c r="C521" s="35" t="str">
        <f>IF(A521="","",I520)</f>
        <v/>
      </c>
      <c r="D521" s="35" t="str">
        <f>IF(A521="","",C521*Datos!$B$17/Datos!$B$12)</f>
        <v/>
      </c>
      <c r="E521" s="35" t="str">
        <f>IF(A521="","",MIN(Datos!$B$20,C521+D521))</f>
        <v/>
      </c>
      <c r="F521" s="35" t="str">
        <f>IF(A521="","",MAX(0,E521-D521))</f>
        <v/>
      </c>
      <c r="G521" s="36">
        <v>0</v>
      </c>
      <c r="H521" s="35" t="str">
        <f>IF(A521="","",MIN(C521,F521+G521))</f>
        <v/>
      </c>
      <c r="I521" s="35" t="str">
        <f>IF(A521="","",MAX(0,C521-H521))</f>
        <v/>
      </c>
      <c r="J521" s="35" t="str">
        <f>IF(A521="","",D521+H521)</f>
        <v/>
      </c>
    </row>
    <row r="522" spans="1:10" ht="15" customHeight="1">
      <c r="A522" s="32" t="str">
        <f>IF(517&lt;=Datos!$B$13,517,"")</f>
        <v/>
      </c>
      <c r="B522" s="44" t="str">
        <f>IF(A522="","",EDATE(Datos!$B$19,A522-1))</f>
        <v/>
      </c>
      <c r="C522" s="35" t="str">
        <f>IF(A522="","",I521)</f>
        <v/>
      </c>
      <c r="D522" s="35" t="str">
        <f>IF(A522="","",C522*Datos!$B$17/Datos!$B$12)</f>
        <v/>
      </c>
      <c r="E522" s="35" t="str">
        <f>IF(A522="","",MIN(Datos!$B$20,C522+D522))</f>
        <v/>
      </c>
      <c r="F522" s="35" t="str">
        <f>IF(A522="","",MAX(0,E522-D522))</f>
        <v/>
      </c>
      <c r="G522" s="36">
        <v>0</v>
      </c>
      <c r="H522" s="35" t="str">
        <f>IF(A522="","",MIN(C522,F522+G522))</f>
        <v/>
      </c>
      <c r="I522" s="35" t="str">
        <f>IF(A522="","",MAX(0,C522-H522))</f>
        <v/>
      </c>
      <c r="J522" s="35" t="str">
        <f>IF(A522="","",D522+H522)</f>
        <v/>
      </c>
    </row>
    <row r="523" spans="1:10" ht="15" customHeight="1">
      <c r="A523" s="32" t="str">
        <f>IF(518&lt;=Datos!$B$13,518,"")</f>
        <v/>
      </c>
      <c r="B523" s="44" t="str">
        <f>IF(A523="","",EDATE(Datos!$B$19,A523-1))</f>
        <v/>
      </c>
      <c r="C523" s="35" t="str">
        <f>IF(A523="","",I522)</f>
        <v/>
      </c>
      <c r="D523" s="35" t="str">
        <f>IF(A523="","",C523*Datos!$B$17/Datos!$B$12)</f>
        <v/>
      </c>
      <c r="E523" s="35" t="str">
        <f>IF(A523="","",MIN(Datos!$B$20,C523+D523))</f>
        <v/>
      </c>
      <c r="F523" s="35" t="str">
        <f>IF(A523="","",MAX(0,E523-D523))</f>
        <v/>
      </c>
      <c r="G523" s="36">
        <v>0</v>
      </c>
      <c r="H523" s="35" t="str">
        <f>IF(A523="","",MIN(C523,F523+G523))</f>
        <v/>
      </c>
      <c r="I523" s="35" t="str">
        <f>IF(A523="","",MAX(0,C523-H523))</f>
        <v/>
      </c>
      <c r="J523" s="35" t="str">
        <f>IF(A523="","",D523+H523)</f>
        <v/>
      </c>
    </row>
    <row r="524" spans="1:10" ht="15" customHeight="1">
      <c r="A524" s="32" t="str">
        <f>IF(519&lt;=Datos!$B$13,519,"")</f>
        <v/>
      </c>
      <c r="B524" s="44" t="str">
        <f>IF(A524="","",EDATE(Datos!$B$19,A524-1))</f>
        <v/>
      </c>
      <c r="C524" s="35" t="str">
        <f>IF(A524="","",I523)</f>
        <v/>
      </c>
      <c r="D524" s="35" t="str">
        <f>IF(A524="","",C524*Datos!$B$17/Datos!$B$12)</f>
        <v/>
      </c>
      <c r="E524" s="35" t="str">
        <f>IF(A524="","",MIN(Datos!$B$20,C524+D524))</f>
        <v/>
      </c>
      <c r="F524" s="35" t="str">
        <f>IF(A524="","",MAX(0,E524-D524))</f>
        <v/>
      </c>
      <c r="G524" s="36">
        <v>0</v>
      </c>
      <c r="H524" s="35" t="str">
        <f>IF(A524="","",MIN(C524,F524+G524))</f>
        <v/>
      </c>
      <c r="I524" s="35" t="str">
        <f>IF(A524="","",MAX(0,C524-H524))</f>
        <v/>
      </c>
      <c r="J524" s="35" t="str">
        <f>IF(A524="","",D524+H524)</f>
        <v/>
      </c>
    </row>
    <row r="525" spans="1:10" ht="15" customHeight="1">
      <c r="A525" s="32" t="str">
        <f>IF(520&lt;=Datos!$B$13,520,"")</f>
        <v/>
      </c>
      <c r="B525" s="44" t="str">
        <f>IF(A525="","",EDATE(Datos!$B$19,A525-1))</f>
        <v/>
      </c>
      <c r="C525" s="35" t="str">
        <f>IF(A525="","",I524)</f>
        <v/>
      </c>
      <c r="D525" s="35" t="str">
        <f>IF(A525="","",C525*Datos!$B$17/Datos!$B$12)</f>
        <v/>
      </c>
      <c r="E525" s="35" t="str">
        <f>IF(A525="","",MIN(Datos!$B$20,C525+D525))</f>
        <v/>
      </c>
      <c r="F525" s="35" t="str">
        <f>IF(A525="","",MAX(0,E525-D525))</f>
        <v/>
      </c>
      <c r="G525" s="36">
        <v>0</v>
      </c>
      <c r="H525" s="35" t="str">
        <f>IF(A525="","",MIN(C525,F525+G525))</f>
        <v/>
      </c>
      <c r="I525" s="35" t="str">
        <f>IF(A525="","",MAX(0,C525-H525))</f>
        <v/>
      </c>
      <c r="J525" s="35" t="str">
        <f>IF(A525="","",D525+H525)</f>
        <v/>
      </c>
    </row>
    <row r="526" spans="1:10" ht="15" customHeight="1">
      <c r="A526" s="32" t="str">
        <f>IF(521&lt;=Datos!$B$13,521,"")</f>
        <v/>
      </c>
      <c r="B526" s="44" t="str">
        <f>IF(A526="","",EDATE(Datos!$B$19,A526-1))</f>
        <v/>
      </c>
      <c r="C526" s="35" t="str">
        <f>IF(A526="","",I525)</f>
        <v/>
      </c>
      <c r="D526" s="35" t="str">
        <f>IF(A526="","",C526*Datos!$B$17/Datos!$B$12)</f>
        <v/>
      </c>
      <c r="E526" s="35" t="str">
        <f>IF(A526="","",MIN(Datos!$B$20,C526+D526))</f>
        <v/>
      </c>
      <c r="F526" s="35" t="str">
        <f>IF(A526="","",MAX(0,E526-D526))</f>
        <v/>
      </c>
      <c r="G526" s="36">
        <v>0</v>
      </c>
      <c r="H526" s="35" t="str">
        <f>IF(A526="","",MIN(C526,F526+G526))</f>
        <v/>
      </c>
      <c r="I526" s="35" t="str">
        <f>IF(A526="","",MAX(0,C526-H526))</f>
        <v/>
      </c>
      <c r="J526" s="35" t="str">
        <f>IF(A526="","",D526+H526)</f>
        <v/>
      </c>
    </row>
    <row r="527" spans="1:10" ht="15" customHeight="1">
      <c r="A527" s="32" t="str">
        <f>IF(522&lt;=Datos!$B$13,522,"")</f>
        <v/>
      </c>
      <c r="B527" s="44" t="str">
        <f>IF(A527="","",EDATE(Datos!$B$19,A527-1))</f>
        <v/>
      </c>
      <c r="C527" s="35" t="str">
        <f>IF(A527="","",I526)</f>
        <v/>
      </c>
      <c r="D527" s="35" t="str">
        <f>IF(A527="","",C527*Datos!$B$17/Datos!$B$12)</f>
        <v/>
      </c>
      <c r="E527" s="35" t="str">
        <f>IF(A527="","",MIN(Datos!$B$20,C527+D527))</f>
        <v/>
      </c>
      <c r="F527" s="35" t="str">
        <f>IF(A527="","",MAX(0,E527-D527))</f>
        <v/>
      </c>
      <c r="G527" s="36">
        <v>0</v>
      </c>
      <c r="H527" s="35" t="str">
        <f>IF(A527="","",MIN(C527,F527+G527))</f>
        <v/>
      </c>
      <c r="I527" s="35" t="str">
        <f>IF(A527="","",MAX(0,C527-H527))</f>
        <v/>
      </c>
      <c r="J527" s="35" t="str">
        <f>IF(A527="","",D527+H527)</f>
        <v/>
      </c>
    </row>
    <row r="528" spans="1:10" ht="15" customHeight="1">
      <c r="A528" s="32" t="str">
        <f>IF(523&lt;=Datos!$B$13,523,"")</f>
        <v/>
      </c>
      <c r="B528" s="44" t="str">
        <f>IF(A528="","",EDATE(Datos!$B$19,A528-1))</f>
        <v/>
      </c>
      <c r="C528" s="35" t="str">
        <f>IF(A528="","",I527)</f>
        <v/>
      </c>
      <c r="D528" s="35" t="str">
        <f>IF(A528="","",C528*Datos!$B$17/Datos!$B$12)</f>
        <v/>
      </c>
      <c r="E528" s="35" t="str">
        <f>IF(A528="","",MIN(Datos!$B$20,C528+D528))</f>
        <v/>
      </c>
      <c r="F528" s="35" t="str">
        <f>IF(A528="","",MAX(0,E528-D528))</f>
        <v/>
      </c>
      <c r="G528" s="36">
        <v>0</v>
      </c>
      <c r="H528" s="35" t="str">
        <f>IF(A528="","",MIN(C528,F528+G528))</f>
        <v/>
      </c>
      <c r="I528" s="35" t="str">
        <f>IF(A528="","",MAX(0,C528-H528))</f>
        <v/>
      </c>
      <c r="J528" s="35" t="str">
        <f>IF(A528="","",D528+H528)</f>
        <v/>
      </c>
    </row>
    <row r="529" spans="1:10" ht="15" customHeight="1">
      <c r="A529" s="32" t="str">
        <f>IF(524&lt;=Datos!$B$13,524,"")</f>
        <v/>
      </c>
      <c r="B529" s="44" t="str">
        <f>IF(A529="","",EDATE(Datos!$B$19,A529-1))</f>
        <v/>
      </c>
      <c r="C529" s="35" t="str">
        <f>IF(A529="","",I528)</f>
        <v/>
      </c>
      <c r="D529" s="35" t="str">
        <f>IF(A529="","",C529*Datos!$B$17/Datos!$B$12)</f>
        <v/>
      </c>
      <c r="E529" s="35" t="str">
        <f>IF(A529="","",MIN(Datos!$B$20,C529+D529))</f>
        <v/>
      </c>
      <c r="F529" s="35" t="str">
        <f>IF(A529="","",MAX(0,E529-D529))</f>
        <v/>
      </c>
      <c r="G529" s="36">
        <v>0</v>
      </c>
      <c r="H529" s="35" t="str">
        <f>IF(A529="","",MIN(C529,F529+G529))</f>
        <v/>
      </c>
      <c r="I529" s="35" t="str">
        <f>IF(A529="","",MAX(0,C529-H529))</f>
        <v/>
      </c>
      <c r="J529" s="35" t="str">
        <f>IF(A529="","",D529+H529)</f>
        <v/>
      </c>
    </row>
    <row r="530" spans="1:10" ht="15" customHeight="1">
      <c r="A530" s="32" t="str">
        <f>IF(525&lt;=Datos!$B$13,525,"")</f>
        <v/>
      </c>
      <c r="B530" s="44" t="str">
        <f>IF(A530="","",EDATE(Datos!$B$19,A530-1))</f>
        <v/>
      </c>
      <c r="C530" s="35" t="str">
        <f>IF(A530="","",I529)</f>
        <v/>
      </c>
      <c r="D530" s="35" t="str">
        <f>IF(A530="","",C530*Datos!$B$17/Datos!$B$12)</f>
        <v/>
      </c>
      <c r="E530" s="35" t="str">
        <f>IF(A530="","",MIN(Datos!$B$20,C530+D530))</f>
        <v/>
      </c>
      <c r="F530" s="35" t="str">
        <f>IF(A530="","",MAX(0,E530-D530))</f>
        <v/>
      </c>
      <c r="G530" s="36">
        <v>0</v>
      </c>
      <c r="H530" s="35" t="str">
        <f>IF(A530="","",MIN(C530,F530+G530))</f>
        <v/>
      </c>
      <c r="I530" s="35" t="str">
        <f>IF(A530="","",MAX(0,C530-H530))</f>
        <v/>
      </c>
      <c r="J530" s="35" t="str">
        <f>IF(A530="","",D530+H530)</f>
        <v/>
      </c>
    </row>
    <row r="531" spans="1:10" ht="15" customHeight="1">
      <c r="A531" s="32" t="str">
        <f>IF(526&lt;=Datos!$B$13,526,"")</f>
        <v/>
      </c>
      <c r="B531" s="44" t="str">
        <f>IF(A531="","",EDATE(Datos!$B$19,A531-1))</f>
        <v/>
      </c>
      <c r="C531" s="35" t="str">
        <f>IF(A531="","",I530)</f>
        <v/>
      </c>
      <c r="D531" s="35" t="str">
        <f>IF(A531="","",C531*Datos!$B$17/Datos!$B$12)</f>
        <v/>
      </c>
      <c r="E531" s="35" t="str">
        <f>IF(A531="","",MIN(Datos!$B$20,C531+D531))</f>
        <v/>
      </c>
      <c r="F531" s="35" t="str">
        <f>IF(A531="","",MAX(0,E531-D531))</f>
        <v/>
      </c>
      <c r="G531" s="36">
        <v>0</v>
      </c>
      <c r="H531" s="35" t="str">
        <f>IF(A531="","",MIN(C531,F531+G531))</f>
        <v/>
      </c>
      <c r="I531" s="35" t="str">
        <f>IF(A531="","",MAX(0,C531-H531))</f>
        <v/>
      </c>
      <c r="J531" s="35" t="str">
        <f>IF(A531="","",D531+H531)</f>
        <v/>
      </c>
    </row>
    <row r="532" spans="1:10" ht="15" customHeight="1">
      <c r="A532" s="32" t="str">
        <f>IF(527&lt;=Datos!$B$13,527,"")</f>
        <v/>
      </c>
      <c r="B532" s="44" t="str">
        <f>IF(A532="","",EDATE(Datos!$B$19,A532-1))</f>
        <v/>
      </c>
      <c r="C532" s="35" t="str">
        <f>IF(A532="","",I531)</f>
        <v/>
      </c>
      <c r="D532" s="35" t="str">
        <f>IF(A532="","",C532*Datos!$B$17/Datos!$B$12)</f>
        <v/>
      </c>
      <c r="E532" s="35" t="str">
        <f>IF(A532="","",MIN(Datos!$B$20,C532+D532))</f>
        <v/>
      </c>
      <c r="F532" s="35" t="str">
        <f>IF(A532="","",MAX(0,E532-D532))</f>
        <v/>
      </c>
      <c r="G532" s="36">
        <v>0</v>
      </c>
      <c r="H532" s="35" t="str">
        <f>IF(A532="","",MIN(C532,F532+G532))</f>
        <v/>
      </c>
      <c r="I532" s="35" t="str">
        <f>IF(A532="","",MAX(0,C532-H532))</f>
        <v/>
      </c>
      <c r="J532" s="35" t="str">
        <f>IF(A532="","",D532+H532)</f>
        <v/>
      </c>
    </row>
    <row r="533" spans="1:10" ht="15" customHeight="1">
      <c r="A533" s="32" t="str">
        <f>IF(528&lt;=Datos!$B$13,528,"")</f>
        <v/>
      </c>
      <c r="B533" s="44" t="str">
        <f>IF(A533="","",EDATE(Datos!$B$19,A533-1))</f>
        <v/>
      </c>
      <c r="C533" s="35" t="str">
        <f>IF(A533="","",I532)</f>
        <v/>
      </c>
      <c r="D533" s="35" t="str">
        <f>IF(A533="","",C533*Datos!$B$17/Datos!$B$12)</f>
        <v/>
      </c>
      <c r="E533" s="35" t="str">
        <f>IF(A533="","",MIN(Datos!$B$20,C533+D533))</f>
        <v/>
      </c>
      <c r="F533" s="35" t="str">
        <f>IF(A533="","",MAX(0,E533-D533))</f>
        <v/>
      </c>
      <c r="G533" s="36">
        <v>0</v>
      </c>
      <c r="H533" s="35" t="str">
        <f>IF(A533="","",MIN(C533,F533+G533))</f>
        <v/>
      </c>
      <c r="I533" s="35" t="str">
        <f>IF(A533="","",MAX(0,C533-H533))</f>
        <v/>
      </c>
      <c r="J533" s="35" t="str">
        <f>IF(A533="","",D533+H533)</f>
        <v/>
      </c>
    </row>
    <row r="534" spans="1:10" ht="15" customHeight="1">
      <c r="A534" s="32" t="str">
        <f>IF(529&lt;=Datos!$B$13,529,"")</f>
        <v/>
      </c>
      <c r="B534" s="44" t="str">
        <f>IF(A534="","",EDATE(Datos!$B$19,A534-1))</f>
        <v/>
      </c>
      <c r="C534" s="35" t="str">
        <f>IF(A534="","",I533)</f>
        <v/>
      </c>
      <c r="D534" s="35" t="str">
        <f>IF(A534="","",C534*Datos!$B$17/Datos!$B$12)</f>
        <v/>
      </c>
      <c r="E534" s="35" t="str">
        <f>IF(A534="","",MIN(Datos!$B$20,C534+D534))</f>
        <v/>
      </c>
      <c r="F534" s="35" t="str">
        <f>IF(A534="","",MAX(0,E534-D534))</f>
        <v/>
      </c>
      <c r="G534" s="36">
        <v>0</v>
      </c>
      <c r="H534" s="35" t="str">
        <f>IF(A534="","",MIN(C534,F534+G534))</f>
        <v/>
      </c>
      <c r="I534" s="35" t="str">
        <f>IF(A534="","",MAX(0,C534-H534))</f>
        <v/>
      </c>
      <c r="J534" s="35" t="str">
        <f>IF(A534="","",D534+H534)</f>
        <v/>
      </c>
    </row>
    <row r="535" spans="1:10" ht="15" customHeight="1">
      <c r="A535" s="32" t="str">
        <f>IF(530&lt;=Datos!$B$13,530,"")</f>
        <v/>
      </c>
      <c r="B535" s="44" t="str">
        <f>IF(A535="","",EDATE(Datos!$B$19,A535-1))</f>
        <v/>
      </c>
      <c r="C535" s="35" t="str">
        <f>IF(A535="","",I534)</f>
        <v/>
      </c>
      <c r="D535" s="35" t="str">
        <f>IF(A535="","",C535*Datos!$B$17/Datos!$B$12)</f>
        <v/>
      </c>
      <c r="E535" s="35" t="str">
        <f>IF(A535="","",MIN(Datos!$B$20,C535+D535))</f>
        <v/>
      </c>
      <c r="F535" s="35" t="str">
        <f>IF(A535="","",MAX(0,E535-D535))</f>
        <v/>
      </c>
      <c r="G535" s="36">
        <v>0</v>
      </c>
      <c r="H535" s="35" t="str">
        <f>IF(A535="","",MIN(C535,F535+G535))</f>
        <v/>
      </c>
      <c r="I535" s="35" t="str">
        <f>IF(A535="","",MAX(0,C535-H535))</f>
        <v/>
      </c>
      <c r="J535" s="35" t="str">
        <f>IF(A535="","",D535+H535)</f>
        <v/>
      </c>
    </row>
    <row r="536" spans="1:10" ht="15" customHeight="1">
      <c r="A536" s="32" t="str">
        <f>IF(531&lt;=Datos!$B$13,531,"")</f>
        <v/>
      </c>
      <c r="B536" s="44" t="str">
        <f>IF(A536="","",EDATE(Datos!$B$19,A536-1))</f>
        <v/>
      </c>
      <c r="C536" s="35" t="str">
        <f>IF(A536="","",I535)</f>
        <v/>
      </c>
      <c r="D536" s="35" t="str">
        <f>IF(A536="","",C536*Datos!$B$17/Datos!$B$12)</f>
        <v/>
      </c>
      <c r="E536" s="35" t="str">
        <f>IF(A536="","",MIN(Datos!$B$20,C536+D536))</f>
        <v/>
      </c>
      <c r="F536" s="35" t="str">
        <f>IF(A536="","",MAX(0,E536-D536))</f>
        <v/>
      </c>
      <c r="G536" s="36">
        <v>0</v>
      </c>
      <c r="H536" s="35" t="str">
        <f>IF(A536="","",MIN(C536,F536+G536))</f>
        <v/>
      </c>
      <c r="I536" s="35" t="str">
        <f>IF(A536="","",MAX(0,C536-H536))</f>
        <v/>
      </c>
      <c r="J536" s="35" t="str">
        <f>IF(A536="","",D536+H536)</f>
        <v/>
      </c>
    </row>
    <row r="537" spans="1:10" ht="15" customHeight="1">
      <c r="A537" s="32" t="str">
        <f>IF(532&lt;=Datos!$B$13,532,"")</f>
        <v/>
      </c>
      <c r="B537" s="44" t="str">
        <f>IF(A537="","",EDATE(Datos!$B$19,A537-1))</f>
        <v/>
      </c>
      <c r="C537" s="35" t="str">
        <f>IF(A537="","",I536)</f>
        <v/>
      </c>
      <c r="D537" s="35" t="str">
        <f>IF(A537="","",C537*Datos!$B$17/Datos!$B$12)</f>
        <v/>
      </c>
      <c r="E537" s="35" t="str">
        <f>IF(A537="","",MIN(Datos!$B$20,C537+D537))</f>
        <v/>
      </c>
      <c r="F537" s="35" t="str">
        <f>IF(A537="","",MAX(0,E537-D537))</f>
        <v/>
      </c>
      <c r="G537" s="36">
        <v>0</v>
      </c>
      <c r="H537" s="35" t="str">
        <f>IF(A537="","",MIN(C537,F537+G537))</f>
        <v/>
      </c>
      <c r="I537" s="35" t="str">
        <f>IF(A537="","",MAX(0,C537-H537))</f>
        <v/>
      </c>
      <c r="J537" s="35" t="str">
        <f>IF(A537="","",D537+H537)</f>
        <v/>
      </c>
    </row>
    <row r="538" spans="1:10" ht="15" customHeight="1">
      <c r="A538" s="32" t="str">
        <f>IF(533&lt;=Datos!$B$13,533,"")</f>
        <v/>
      </c>
      <c r="B538" s="44" t="str">
        <f>IF(A538="","",EDATE(Datos!$B$19,A538-1))</f>
        <v/>
      </c>
      <c r="C538" s="35" t="str">
        <f>IF(A538="","",I537)</f>
        <v/>
      </c>
      <c r="D538" s="35" t="str">
        <f>IF(A538="","",C538*Datos!$B$17/Datos!$B$12)</f>
        <v/>
      </c>
      <c r="E538" s="35" t="str">
        <f>IF(A538="","",MIN(Datos!$B$20,C538+D538))</f>
        <v/>
      </c>
      <c r="F538" s="35" t="str">
        <f>IF(A538="","",MAX(0,E538-D538))</f>
        <v/>
      </c>
      <c r="G538" s="36">
        <v>0</v>
      </c>
      <c r="H538" s="35" t="str">
        <f>IF(A538="","",MIN(C538,F538+G538))</f>
        <v/>
      </c>
      <c r="I538" s="35" t="str">
        <f>IF(A538="","",MAX(0,C538-H538))</f>
        <v/>
      </c>
      <c r="J538" s="35" t="str">
        <f>IF(A538="","",D538+H538)</f>
        <v/>
      </c>
    </row>
    <row r="539" spans="1:10" ht="15" customHeight="1">
      <c r="A539" s="32" t="str">
        <f>IF(534&lt;=Datos!$B$13,534,"")</f>
        <v/>
      </c>
      <c r="B539" s="44" t="str">
        <f>IF(A539="","",EDATE(Datos!$B$19,A539-1))</f>
        <v/>
      </c>
      <c r="C539" s="35" t="str">
        <f>IF(A539="","",I538)</f>
        <v/>
      </c>
      <c r="D539" s="35" t="str">
        <f>IF(A539="","",C539*Datos!$B$17/Datos!$B$12)</f>
        <v/>
      </c>
      <c r="E539" s="35" t="str">
        <f>IF(A539="","",MIN(Datos!$B$20,C539+D539))</f>
        <v/>
      </c>
      <c r="F539" s="35" t="str">
        <f>IF(A539="","",MAX(0,E539-D539))</f>
        <v/>
      </c>
      <c r="G539" s="36">
        <v>0</v>
      </c>
      <c r="H539" s="35" t="str">
        <f>IF(A539="","",MIN(C539,F539+G539))</f>
        <v/>
      </c>
      <c r="I539" s="35" t="str">
        <f>IF(A539="","",MAX(0,C539-H539))</f>
        <v/>
      </c>
      <c r="J539" s="35" t="str">
        <f>IF(A539="","",D539+H539)</f>
        <v/>
      </c>
    </row>
    <row r="540" spans="1:10" ht="15" customHeight="1">
      <c r="A540" s="32" t="str">
        <f>IF(535&lt;=Datos!$B$13,535,"")</f>
        <v/>
      </c>
      <c r="B540" s="44" t="str">
        <f>IF(A540="","",EDATE(Datos!$B$19,A540-1))</f>
        <v/>
      </c>
      <c r="C540" s="35" t="str">
        <f>IF(A540="","",I539)</f>
        <v/>
      </c>
      <c r="D540" s="35" t="str">
        <f>IF(A540="","",C540*Datos!$B$17/Datos!$B$12)</f>
        <v/>
      </c>
      <c r="E540" s="35" t="str">
        <f>IF(A540="","",MIN(Datos!$B$20,C540+D540))</f>
        <v/>
      </c>
      <c r="F540" s="35" t="str">
        <f>IF(A540="","",MAX(0,E540-D540))</f>
        <v/>
      </c>
      <c r="G540" s="36">
        <v>0</v>
      </c>
      <c r="H540" s="35" t="str">
        <f>IF(A540="","",MIN(C540,F540+G540))</f>
        <v/>
      </c>
      <c r="I540" s="35" t="str">
        <f>IF(A540="","",MAX(0,C540-H540))</f>
        <v/>
      </c>
      <c r="J540" s="35" t="str">
        <f>IF(A540="","",D540+H540)</f>
        <v/>
      </c>
    </row>
    <row r="541" spans="1:10" ht="15" customHeight="1">
      <c r="A541" s="32" t="str">
        <f>IF(536&lt;=Datos!$B$13,536,"")</f>
        <v/>
      </c>
      <c r="B541" s="44" t="str">
        <f>IF(A541="","",EDATE(Datos!$B$19,A541-1))</f>
        <v/>
      </c>
      <c r="C541" s="35" t="str">
        <f>IF(A541="","",I540)</f>
        <v/>
      </c>
      <c r="D541" s="35" t="str">
        <f>IF(A541="","",C541*Datos!$B$17/Datos!$B$12)</f>
        <v/>
      </c>
      <c r="E541" s="35" t="str">
        <f>IF(A541="","",MIN(Datos!$B$20,C541+D541))</f>
        <v/>
      </c>
      <c r="F541" s="35" t="str">
        <f>IF(A541="","",MAX(0,E541-D541))</f>
        <v/>
      </c>
      <c r="G541" s="36">
        <v>0</v>
      </c>
      <c r="H541" s="35" t="str">
        <f>IF(A541="","",MIN(C541,F541+G541))</f>
        <v/>
      </c>
      <c r="I541" s="35" t="str">
        <f>IF(A541="","",MAX(0,C541-H541))</f>
        <v/>
      </c>
      <c r="J541" s="35" t="str">
        <f>IF(A541="","",D541+H541)</f>
        <v/>
      </c>
    </row>
    <row r="542" spans="1:10" ht="15" customHeight="1">
      <c r="A542" s="32" t="str">
        <f>IF(537&lt;=Datos!$B$13,537,"")</f>
        <v/>
      </c>
      <c r="B542" s="44" t="str">
        <f>IF(A542="","",EDATE(Datos!$B$19,A542-1))</f>
        <v/>
      </c>
      <c r="C542" s="35" t="str">
        <f>IF(A542="","",I541)</f>
        <v/>
      </c>
      <c r="D542" s="35" t="str">
        <f>IF(A542="","",C542*Datos!$B$17/Datos!$B$12)</f>
        <v/>
      </c>
      <c r="E542" s="35" t="str">
        <f>IF(A542="","",MIN(Datos!$B$20,C542+D542))</f>
        <v/>
      </c>
      <c r="F542" s="35" t="str">
        <f>IF(A542="","",MAX(0,E542-D542))</f>
        <v/>
      </c>
      <c r="G542" s="36">
        <v>0</v>
      </c>
      <c r="H542" s="35" t="str">
        <f>IF(A542="","",MIN(C542,F542+G542))</f>
        <v/>
      </c>
      <c r="I542" s="35" t="str">
        <f>IF(A542="","",MAX(0,C542-H542))</f>
        <v/>
      </c>
      <c r="J542" s="35" t="str">
        <f>IF(A542="","",D542+H542)</f>
        <v/>
      </c>
    </row>
    <row r="543" spans="1:10" ht="15" customHeight="1">
      <c r="A543" s="32" t="str">
        <f>IF(538&lt;=Datos!$B$13,538,"")</f>
        <v/>
      </c>
      <c r="B543" s="44" t="str">
        <f>IF(A543="","",EDATE(Datos!$B$19,A543-1))</f>
        <v/>
      </c>
      <c r="C543" s="35" t="str">
        <f>IF(A543="","",I542)</f>
        <v/>
      </c>
      <c r="D543" s="35" t="str">
        <f>IF(A543="","",C543*Datos!$B$17/Datos!$B$12)</f>
        <v/>
      </c>
      <c r="E543" s="35" t="str">
        <f>IF(A543="","",MIN(Datos!$B$20,C543+D543))</f>
        <v/>
      </c>
      <c r="F543" s="35" t="str">
        <f>IF(A543="","",MAX(0,E543-D543))</f>
        <v/>
      </c>
      <c r="G543" s="36">
        <v>0</v>
      </c>
      <c r="H543" s="35" t="str">
        <f>IF(A543="","",MIN(C543,F543+G543))</f>
        <v/>
      </c>
      <c r="I543" s="35" t="str">
        <f>IF(A543="","",MAX(0,C543-H543))</f>
        <v/>
      </c>
      <c r="J543" s="35" t="str">
        <f>IF(A543="","",D543+H543)</f>
        <v/>
      </c>
    </row>
    <row r="544" spans="1:10" ht="15" customHeight="1">
      <c r="A544" s="32" t="str">
        <f>IF(539&lt;=Datos!$B$13,539,"")</f>
        <v/>
      </c>
      <c r="B544" s="44" t="str">
        <f>IF(A544="","",EDATE(Datos!$B$19,A544-1))</f>
        <v/>
      </c>
      <c r="C544" s="35" t="str">
        <f>IF(A544="","",I543)</f>
        <v/>
      </c>
      <c r="D544" s="35" t="str">
        <f>IF(A544="","",C544*Datos!$B$17/Datos!$B$12)</f>
        <v/>
      </c>
      <c r="E544" s="35" t="str">
        <f>IF(A544="","",MIN(Datos!$B$20,C544+D544))</f>
        <v/>
      </c>
      <c r="F544" s="35" t="str">
        <f>IF(A544="","",MAX(0,E544-D544))</f>
        <v/>
      </c>
      <c r="G544" s="36">
        <v>0</v>
      </c>
      <c r="H544" s="35" t="str">
        <f>IF(A544="","",MIN(C544,F544+G544))</f>
        <v/>
      </c>
      <c r="I544" s="35" t="str">
        <f>IF(A544="","",MAX(0,C544-H544))</f>
        <v/>
      </c>
      <c r="J544" s="35" t="str">
        <f>IF(A544="","",D544+H544)</f>
        <v/>
      </c>
    </row>
    <row r="545" spans="1:10" ht="15" customHeight="1">
      <c r="A545" s="32" t="str">
        <f>IF(540&lt;=Datos!$B$13,540,"")</f>
        <v/>
      </c>
      <c r="B545" s="44" t="str">
        <f>IF(A545="","",EDATE(Datos!$B$19,A545-1))</f>
        <v/>
      </c>
      <c r="C545" s="35" t="str">
        <f>IF(A545="","",I544)</f>
        <v/>
      </c>
      <c r="D545" s="35" t="str">
        <f>IF(A545="","",C545*Datos!$B$17/Datos!$B$12)</f>
        <v/>
      </c>
      <c r="E545" s="35" t="str">
        <f>IF(A545="","",MIN(Datos!$B$20,C545+D545))</f>
        <v/>
      </c>
      <c r="F545" s="35" t="str">
        <f>IF(A545="","",MAX(0,E545-D545))</f>
        <v/>
      </c>
      <c r="G545" s="36">
        <v>0</v>
      </c>
      <c r="H545" s="35" t="str">
        <f>IF(A545="","",MIN(C545,F545+G545))</f>
        <v/>
      </c>
      <c r="I545" s="35" t="str">
        <f>IF(A545="","",MAX(0,C545-H545))</f>
        <v/>
      </c>
      <c r="J545" s="35" t="str">
        <f>IF(A545="","",D545+H545)</f>
        <v/>
      </c>
    </row>
    <row r="546" spans="1:10" ht="15" customHeight="1">
      <c r="A546" s="32" t="str">
        <f>IF(541&lt;=Datos!$B$13,541,"")</f>
        <v/>
      </c>
      <c r="B546" s="44" t="str">
        <f>IF(A546="","",EDATE(Datos!$B$19,A546-1))</f>
        <v/>
      </c>
      <c r="C546" s="35" t="str">
        <f>IF(A546="","",I545)</f>
        <v/>
      </c>
      <c r="D546" s="35" t="str">
        <f>IF(A546="","",C546*Datos!$B$17/Datos!$B$12)</f>
        <v/>
      </c>
      <c r="E546" s="35" t="str">
        <f>IF(A546="","",MIN(Datos!$B$20,C546+D546))</f>
        <v/>
      </c>
      <c r="F546" s="35" t="str">
        <f>IF(A546="","",MAX(0,E546-D546))</f>
        <v/>
      </c>
      <c r="G546" s="36">
        <v>0</v>
      </c>
      <c r="H546" s="35" t="str">
        <f>IF(A546="","",MIN(C546,F546+G546))</f>
        <v/>
      </c>
      <c r="I546" s="35" t="str">
        <f>IF(A546="","",MAX(0,C546-H546))</f>
        <v/>
      </c>
      <c r="J546" s="35" t="str">
        <f>IF(A546="","",D546+H546)</f>
        <v/>
      </c>
    </row>
    <row r="547" spans="1:10" ht="15" customHeight="1">
      <c r="A547" s="32" t="str">
        <f>IF(542&lt;=Datos!$B$13,542,"")</f>
        <v/>
      </c>
      <c r="B547" s="44" t="str">
        <f>IF(A547="","",EDATE(Datos!$B$19,A547-1))</f>
        <v/>
      </c>
      <c r="C547" s="35" t="str">
        <f>IF(A547="","",I546)</f>
        <v/>
      </c>
      <c r="D547" s="35" t="str">
        <f>IF(A547="","",C547*Datos!$B$17/Datos!$B$12)</f>
        <v/>
      </c>
      <c r="E547" s="35" t="str">
        <f>IF(A547="","",MIN(Datos!$B$20,C547+D547))</f>
        <v/>
      </c>
      <c r="F547" s="35" t="str">
        <f>IF(A547="","",MAX(0,E547-D547))</f>
        <v/>
      </c>
      <c r="G547" s="36">
        <v>0</v>
      </c>
      <c r="H547" s="35" t="str">
        <f>IF(A547="","",MIN(C547,F547+G547))</f>
        <v/>
      </c>
      <c r="I547" s="35" t="str">
        <f>IF(A547="","",MAX(0,C547-H547))</f>
        <v/>
      </c>
      <c r="J547" s="35" t="str">
        <f>IF(A547="","",D547+H547)</f>
        <v/>
      </c>
    </row>
    <row r="548" spans="1:10" ht="15" customHeight="1">
      <c r="A548" s="32" t="str">
        <f>IF(543&lt;=Datos!$B$13,543,"")</f>
        <v/>
      </c>
      <c r="B548" s="44" t="str">
        <f>IF(A548="","",EDATE(Datos!$B$19,A548-1))</f>
        <v/>
      </c>
      <c r="C548" s="35" t="str">
        <f>IF(A548="","",I547)</f>
        <v/>
      </c>
      <c r="D548" s="35" t="str">
        <f>IF(A548="","",C548*Datos!$B$17/Datos!$B$12)</f>
        <v/>
      </c>
      <c r="E548" s="35" t="str">
        <f>IF(A548="","",MIN(Datos!$B$20,C548+D548))</f>
        <v/>
      </c>
      <c r="F548" s="35" t="str">
        <f>IF(A548="","",MAX(0,E548-D548))</f>
        <v/>
      </c>
      <c r="G548" s="36">
        <v>0</v>
      </c>
      <c r="H548" s="35" t="str">
        <f>IF(A548="","",MIN(C548,F548+G548))</f>
        <v/>
      </c>
      <c r="I548" s="35" t="str">
        <f>IF(A548="","",MAX(0,C548-H548))</f>
        <v/>
      </c>
      <c r="J548" s="35" t="str">
        <f>IF(A548="","",D548+H548)</f>
        <v/>
      </c>
    </row>
    <row r="549" spans="1:10" ht="15" customHeight="1">
      <c r="A549" s="32" t="str">
        <f>IF(544&lt;=Datos!$B$13,544,"")</f>
        <v/>
      </c>
      <c r="B549" s="44" t="str">
        <f>IF(A549="","",EDATE(Datos!$B$19,A549-1))</f>
        <v/>
      </c>
      <c r="C549" s="35" t="str">
        <f>IF(A549="","",I548)</f>
        <v/>
      </c>
      <c r="D549" s="35" t="str">
        <f>IF(A549="","",C549*Datos!$B$17/Datos!$B$12)</f>
        <v/>
      </c>
      <c r="E549" s="35" t="str">
        <f>IF(A549="","",MIN(Datos!$B$20,C549+D549))</f>
        <v/>
      </c>
      <c r="F549" s="35" t="str">
        <f>IF(A549="","",MAX(0,E549-D549))</f>
        <v/>
      </c>
      <c r="G549" s="36">
        <v>0</v>
      </c>
      <c r="H549" s="35" t="str">
        <f>IF(A549="","",MIN(C549,F549+G549))</f>
        <v/>
      </c>
      <c r="I549" s="35" t="str">
        <f>IF(A549="","",MAX(0,C549-H549))</f>
        <v/>
      </c>
      <c r="J549" s="35" t="str">
        <f>IF(A549="","",D549+H549)</f>
        <v/>
      </c>
    </row>
    <row r="550" spans="1:10" ht="15" customHeight="1">
      <c r="A550" s="32" t="str">
        <f>IF(545&lt;=Datos!$B$13,545,"")</f>
        <v/>
      </c>
      <c r="B550" s="44" t="str">
        <f>IF(A550="","",EDATE(Datos!$B$19,A550-1))</f>
        <v/>
      </c>
      <c r="C550" s="35" t="str">
        <f>IF(A550="","",I549)</f>
        <v/>
      </c>
      <c r="D550" s="35" t="str">
        <f>IF(A550="","",C550*Datos!$B$17/Datos!$B$12)</f>
        <v/>
      </c>
      <c r="E550" s="35" t="str">
        <f>IF(A550="","",MIN(Datos!$B$20,C550+D550))</f>
        <v/>
      </c>
      <c r="F550" s="35" t="str">
        <f>IF(A550="","",MAX(0,E550-D550))</f>
        <v/>
      </c>
      <c r="G550" s="36">
        <v>0</v>
      </c>
      <c r="H550" s="35" t="str">
        <f>IF(A550="","",MIN(C550,F550+G550))</f>
        <v/>
      </c>
      <c r="I550" s="35" t="str">
        <f>IF(A550="","",MAX(0,C550-H550))</f>
        <v/>
      </c>
      <c r="J550" s="35" t="str">
        <f>IF(A550="","",D550+H550)</f>
        <v/>
      </c>
    </row>
    <row r="551" spans="1:10" ht="15" customHeight="1">
      <c r="A551" s="32" t="str">
        <f>IF(546&lt;=Datos!$B$13,546,"")</f>
        <v/>
      </c>
      <c r="B551" s="44" t="str">
        <f>IF(A551="","",EDATE(Datos!$B$19,A551-1))</f>
        <v/>
      </c>
      <c r="C551" s="35" t="str">
        <f>IF(A551="","",I550)</f>
        <v/>
      </c>
      <c r="D551" s="35" t="str">
        <f>IF(A551="","",C551*Datos!$B$17/Datos!$B$12)</f>
        <v/>
      </c>
      <c r="E551" s="35" t="str">
        <f>IF(A551="","",MIN(Datos!$B$20,C551+D551))</f>
        <v/>
      </c>
      <c r="F551" s="35" t="str">
        <f>IF(A551="","",MAX(0,E551-D551))</f>
        <v/>
      </c>
      <c r="G551" s="36">
        <v>0</v>
      </c>
      <c r="H551" s="35" t="str">
        <f>IF(A551="","",MIN(C551,F551+G551))</f>
        <v/>
      </c>
      <c r="I551" s="35" t="str">
        <f>IF(A551="","",MAX(0,C551-H551))</f>
        <v/>
      </c>
      <c r="J551" s="35" t="str">
        <f>IF(A551="","",D551+H551)</f>
        <v/>
      </c>
    </row>
    <row r="552" spans="1:10" ht="15" customHeight="1">
      <c r="A552" s="32" t="str">
        <f>IF(547&lt;=Datos!$B$13,547,"")</f>
        <v/>
      </c>
      <c r="B552" s="44" t="str">
        <f>IF(A552="","",EDATE(Datos!$B$19,A552-1))</f>
        <v/>
      </c>
      <c r="C552" s="35" t="str">
        <f>IF(A552="","",I551)</f>
        <v/>
      </c>
      <c r="D552" s="35" t="str">
        <f>IF(A552="","",C552*Datos!$B$17/Datos!$B$12)</f>
        <v/>
      </c>
      <c r="E552" s="35" t="str">
        <f>IF(A552="","",MIN(Datos!$B$20,C552+D552))</f>
        <v/>
      </c>
      <c r="F552" s="35" t="str">
        <f>IF(A552="","",MAX(0,E552-D552))</f>
        <v/>
      </c>
      <c r="G552" s="36">
        <v>0</v>
      </c>
      <c r="H552" s="35" t="str">
        <f>IF(A552="","",MIN(C552,F552+G552))</f>
        <v/>
      </c>
      <c r="I552" s="35" t="str">
        <f>IF(A552="","",MAX(0,C552-H552))</f>
        <v/>
      </c>
      <c r="J552" s="35" t="str">
        <f>IF(A552="","",D552+H552)</f>
        <v/>
      </c>
    </row>
    <row r="553" spans="1:10" ht="15" customHeight="1">
      <c r="A553" s="32" t="str">
        <f>IF(548&lt;=Datos!$B$13,548,"")</f>
        <v/>
      </c>
      <c r="B553" s="44" t="str">
        <f>IF(A553="","",EDATE(Datos!$B$19,A553-1))</f>
        <v/>
      </c>
      <c r="C553" s="35" t="str">
        <f>IF(A553="","",I552)</f>
        <v/>
      </c>
      <c r="D553" s="35" t="str">
        <f>IF(A553="","",C553*Datos!$B$17/Datos!$B$12)</f>
        <v/>
      </c>
      <c r="E553" s="35" t="str">
        <f>IF(A553="","",MIN(Datos!$B$20,C553+D553))</f>
        <v/>
      </c>
      <c r="F553" s="35" t="str">
        <f>IF(A553="","",MAX(0,E553-D553))</f>
        <v/>
      </c>
      <c r="G553" s="36">
        <v>0</v>
      </c>
      <c r="H553" s="35" t="str">
        <f>IF(A553="","",MIN(C553,F553+G553))</f>
        <v/>
      </c>
      <c r="I553" s="35" t="str">
        <f>IF(A553="","",MAX(0,C553-H553))</f>
        <v/>
      </c>
      <c r="J553" s="35" t="str">
        <f>IF(A553="","",D553+H553)</f>
        <v/>
      </c>
    </row>
    <row r="554" spans="1:10" ht="15" customHeight="1">
      <c r="A554" s="32" t="str">
        <f>IF(549&lt;=Datos!$B$13,549,"")</f>
        <v/>
      </c>
      <c r="B554" s="44" t="str">
        <f>IF(A554="","",EDATE(Datos!$B$19,A554-1))</f>
        <v/>
      </c>
      <c r="C554" s="35" t="str">
        <f>IF(A554="","",I553)</f>
        <v/>
      </c>
      <c r="D554" s="35" t="str">
        <f>IF(A554="","",C554*Datos!$B$17/Datos!$B$12)</f>
        <v/>
      </c>
      <c r="E554" s="35" t="str">
        <f>IF(A554="","",MIN(Datos!$B$20,C554+D554))</f>
        <v/>
      </c>
      <c r="F554" s="35" t="str">
        <f>IF(A554="","",MAX(0,E554-D554))</f>
        <v/>
      </c>
      <c r="G554" s="36">
        <v>0</v>
      </c>
      <c r="H554" s="35" t="str">
        <f>IF(A554="","",MIN(C554,F554+G554))</f>
        <v/>
      </c>
      <c r="I554" s="35" t="str">
        <f>IF(A554="","",MAX(0,C554-H554))</f>
        <v/>
      </c>
      <c r="J554" s="35" t="str">
        <f>IF(A554="","",D554+H554)</f>
        <v/>
      </c>
    </row>
    <row r="555" spans="1:10" ht="15" customHeight="1">
      <c r="A555" s="32" t="str">
        <f>IF(550&lt;=Datos!$B$13,550,"")</f>
        <v/>
      </c>
      <c r="B555" s="44" t="str">
        <f>IF(A555="","",EDATE(Datos!$B$19,A555-1))</f>
        <v/>
      </c>
      <c r="C555" s="35" t="str">
        <f>IF(A555="","",I554)</f>
        <v/>
      </c>
      <c r="D555" s="35" t="str">
        <f>IF(A555="","",C555*Datos!$B$17/Datos!$B$12)</f>
        <v/>
      </c>
      <c r="E555" s="35" t="str">
        <f>IF(A555="","",MIN(Datos!$B$20,C555+D555))</f>
        <v/>
      </c>
      <c r="F555" s="35" t="str">
        <f>IF(A555="","",MAX(0,E555-D555))</f>
        <v/>
      </c>
      <c r="G555" s="36">
        <v>0</v>
      </c>
      <c r="H555" s="35" t="str">
        <f>IF(A555="","",MIN(C555,F555+G555))</f>
        <v/>
      </c>
      <c r="I555" s="35" t="str">
        <f>IF(A555="","",MAX(0,C555-H555))</f>
        <v/>
      </c>
      <c r="J555" s="35" t="str">
        <f>IF(A555="","",D555+H555)</f>
        <v/>
      </c>
    </row>
    <row r="556" spans="1:10" ht="15" customHeight="1">
      <c r="A556" s="32" t="str">
        <f>IF(551&lt;=Datos!$B$13,551,"")</f>
        <v/>
      </c>
      <c r="B556" s="44" t="str">
        <f>IF(A556="","",EDATE(Datos!$B$19,A556-1))</f>
        <v/>
      </c>
      <c r="C556" s="35" t="str">
        <f>IF(A556="","",I555)</f>
        <v/>
      </c>
      <c r="D556" s="35" t="str">
        <f>IF(A556="","",C556*Datos!$B$17/Datos!$B$12)</f>
        <v/>
      </c>
      <c r="E556" s="35" t="str">
        <f>IF(A556="","",MIN(Datos!$B$20,C556+D556))</f>
        <v/>
      </c>
      <c r="F556" s="35" t="str">
        <f>IF(A556="","",MAX(0,E556-D556))</f>
        <v/>
      </c>
      <c r="G556" s="36">
        <v>0</v>
      </c>
      <c r="H556" s="35" t="str">
        <f>IF(A556="","",MIN(C556,F556+G556))</f>
        <v/>
      </c>
      <c r="I556" s="35" t="str">
        <f>IF(A556="","",MAX(0,C556-H556))</f>
        <v/>
      </c>
      <c r="J556" s="35" t="str">
        <f>IF(A556="","",D556+H556)</f>
        <v/>
      </c>
    </row>
    <row r="557" spans="1:10" ht="15" customHeight="1">
      <c r="A557" s="32" t="str">
        <f>IF(552&lt;=Datos!$B$13,552,"")</f>
        <v/>
      </c>
      <c r="B557" s="44" t="str">
        <f>IF(A557="","",EDATE(Datos!$B$19,A557-1))</f>
        <v/>
      </c>
      <c r="C557" s="35" t="str">
        <f>IF(A557="","",I556)</f>
        <v/>
      </c>
      <c r="D557" s="35" t="str">
        <f>IF(A557="","",C557*Datos!$B$17/Datos!$B$12)</f>
        <v/>
      </c>
      <c r="E557" s="35" t="str">
        <f>IF(A557="","",MIN(Datos!$B$20,C557+D557))</f>
        <v/>
      </c>
      <c r="F557" s="35" t="str">
        <f>IF(A557="","",MAX(0,E557-D557))</f>
        <v/>
      </c>
      <c r="G557" s="36">
        <v>0</v>
      </c>
      <c r="H557" s="35" t="str">
        <f>IF(A557="","",MIN(C557,F557+G557))</f>
        <v/>
      </c>
      <c r="I557" s="35" t="str">
        <f>IF(A557="","",MAX(0,C557-H557))</f>
        <v/>
      </c>
      <c r="J557" s="35" t="str">
        <f>IF(A557="","",D557+H557)</f>
        <v/>
      </c>
    </row>
    <row r="558" spans="1:10" ht="15" customHeight="1">
      <c r="A558" s="32" t="str">
        <f>IF(553&lt;=Datos!$B$13,553,"")</f>
        <v/>
      </c>
      <c r="B558" s="44" t="str">
        <f>IF(A558="","",EDATE(Datos!$B$19,A558-1))</f>
        <v/>
      </c>
      <c r="C558" s="35" t="str">
        <f>IF(A558="","",I557)</f>
        <v/>
      </c>
      <c r="D558" s="35" t="str">
        <f>IF(A558="","",C558*Datos!$B$17/Datos!$B$12)</f>
        <v/>
      </c>
      <c r="E558" s="35" t="str">
        <f>IF(A558="","",MIN(Datos!$B$20,C558+D558))</f>
        <v/>
      </c>
      <c r="F558" s="35" t="str">
        <f>IF(A558="","",MAX(0,E558-D558))</f>
        <v/>
      </c>
      <c r="G558" s="36">
        <v>0</v>
      </c>
      <c r="H558" s="35" t="str">
        <f>IF(A558="","",MIN(C558,F558+G558))</f>
        <v/>
      </c>
      <c r="I558" s="35" t="str">
        <f>IF(A558="","",MAX(0,C558-H558))</f>
        <v/>
      </c>
      <c r="J558" s="35" t="str">
        <f>IF(A558="","",D558+H558)</f>
        <v/>
      </c>
    </row>
    <row r="559" spans="1:10" ht="15" customHeight="1">
      <c r="A559" s="32" t="str">
        <f>IF(554&lt;=Datos!$B$13,554,"")</f>
        <v/>
      </c>
      <c r="B559" s="44" t="str">
        <f>IF(A559="","",EDATE(Datos!$B$19,A559-1))</f>
        <v/>
      </c>
      <c r="C559" s="35" t="str">
        <f>IF(A559="","",I558)</f>
        <v/>
      </c>
      <c r="D559" s="35" t="str">
        <f>IF(A559="","",C559*Datos!$B$17/Datos!$B$12)</f>
        <v/>
      </c>
      <c r="E559" s="35" t="str">
        <f>IF(A559="","",MIN(Datos!$B$20,C559+D559))</f>
        <v/>
      </c>
      <c r="F559" s="35" t="str">
        <f>IF(A559="","",MAX(0,E559-D559))</f>
        <v/>
      </c>
      <c r="G559" s="36">
        <v>0</v>
      </c>
      <c r="H559" s="35" t="str">
        <f>IF(A559="","",MIN(C559,F559+G559))</f>
        <v/>
      </c>
      <c r="I559" s="35" t="str">
        <f>IF(A559="","",MAX(0,C559-H559))</f>
        <v/>
      </c>
      <c r="J559" s="35" t="str">
        <f>IF(A559="","",D559+H559)</f>
        <v/>
      </c>
    </row>
    <row r="560" spans="1:10" ht="15" customHeight="1">
      <c r="A560" s="32" t="str">
        <f>IF(555&lt;=Datos!$B$13,555,"")</f>
        <v/>
      </c>
      <c r="B560" s="44" t="str">
        <f>IF(A560="","",EDATE(Datos!$B$19,A560-1))</f>
        <v/>
      </c>
      <c r="C560" s="35" t="str">
        <f>IF(A560="","",I559)</f>
        <v/>
      </c>
      <c r="D560" s="35" t="str">
        <f>IF(A560="","",C560*Datos!$B$17/Datos!$B$12)</f>
        <v/>
      </c>
      <c r="E560" s="35" t="str">
        <f>IF(A560="","",MIN(Datos!$B$20,C560+D560))</f>
        <v/>
      </c>
      <c r="F560" s="35" t="str">
        <f>IF(A560="","",MAX(0,E560-D560))</f>
        <v/>
      </c>
      <c r="G560" s="36">
        <v>0</v>
      </c>
      <c r="H560" s="35" t="str">
        <f>IF(A560="","",MIN(C560,F560+G560))</f>
        <v/>
      </c>
      <c r="I560" s="35" t="str">
        <f>IF(A560="","",MAX(0,C560-H560))</f>
        <v/>
      </c>
      <c r="J560" s="35" t="str">
        <f>IF(A560="","",D560+H560)</f>
        <v/>
      </c>
    </row>
    <row r="561" spans="1:10" ht="15" customHeight="1">
      <c r="A561" s="32" t="str">
        <f>IF(556&lt;=Datos!$B$13,556,"")</f>
        <v/>
      </c>
      <c r="B561" s="44" t="str">
        <f>IF(A561="","",EDATE(Datos!$B$19,A561-1))</f>
        <v/>
      </c>
      <c r="C561" s="35" t="str">
        <f>IF(A561="","",I560)</f>
        <v/>
      </c>
      <c r="D561" s="35" t="str">
        <f>IF(A561="","",C561*Datos!$B$17/Datos!$B$12)</f>
        <v/>
      </c>
      <c r="E561" s="35" t="str">
        <f>IF(A561="","",MIN(Datos!$B$20,C561+D561))</f>
        <v/>
      </c>
      <c r="F561" s="35" t="str">
        <f>IF(A561="","",MAX(0,E561-D561))</f>
        <v/>
      </c>
      <c r="G561" s="36">
        <v>0</v>
      </c>
      <c r="H561" s="35" t="str">
        <f>IF(A561="","",MIN(C561,F561+G561))</f>
        <v/>
      </c>
      <c r="I561" s="35" t="str">
        <f>IF(A561="","",MAX(0,C561-H561))</f>
        <v/>
      </c>
      <c r="J561" s="35" t="str">
        <f>IF(A561="","",D561+H561)</f>
        <v/>
      </c>
    </row>
    <row r="562" spans="1:10" ht="15" customHeight="1">
      <c r="A562" s="32" t="str">
        <f>IF(557&lt;=Datos!$B$13,557,"")</f>
        <v/>
      </c>
      <c r="B562" s="44" t="str">
        <f>IF(A562="","",EDATE(Datos!$B$19,A562-1))</f>
        <v/>
      </c>
      <c r="C562" s="35" t="str">
        <f>IF(A562="","",I561)</f>
        <v/>
      </c>
      <c r="D562" s="35" t="str">
        <f>IF(A562="","",C562*Datos!$B$17/Datos!$B$12)</f>
        <v/>
      </c>
      <c r="E562" s="35" t="str">
        <f>IF(A562="","",MIN(Datos!$B$20,C562+D562))</f>
        <v/>
      </c>
      <c r="F562" s="35" t="str">
        <f>IF(A562="","",MAX(0,E562-D562))</f>
        <v/>
      </c>
      <c r="G562" s="36">
        <v>0</v>
      </c>
      <c r="H562" s="35" t="str">
        <f>IF(A562="","",MIN(C562,F562+G562))</f>
        <v/>
      </c>
      <c r="I562" s="35" t="str">
        <f>IF(A562="","",MAX(0,C562-H562))</f>
        <v/>
      </c>
      <c r="J562" s="35" t="str">
        <f>IF(A562="","",D562+H562)</f>
        <v/>
      </c>
    </row>
    <row r="563" spans="1:10" ht="15" customHeight="1">
      <c r="A563" s="32" t="str">
        <f>IF(558&lt;=Datos!$B$13,558,"")</f>
        <v/>
      </c>
      <c r="B563" s="44" t="str">
        <f>IF(A563="","",EDATE(Datos!$B$19,A563-1))</f>
        <v/>
      </c>
      <c r="C563" s="35" t="str">
        <f>IF(A563="","",I562)</f>
        <v/>
      </c>
      <c r="D563" s="35" t="str">
        <f>IF(A563="","",C563*Datos!$B$17/Datos!$B$12)</f>
        <v/>
      </c>
      <c r="E563" s="35" t="str">
        <f>IF(A563="","",MIN(Datos!$B$20,C563+D563))</f>
        <v/>
      </c>
      <c r="F563" s="35" t="str">
        <f>IF(A563="","",MAX(0,E563-D563))</f>
        <v/>
      </c>
      <c r="G563" s="36">
        <v>0</v>
      </c>
      <c r="H563" s="35" t="str">
        <f>IF(A563="","",MIN(C563,F563+G563))</f>
        <v/>
      </c>
      <c r="I563" s="35" t="str">
        <f>IF(A563="","",MAX(0,C563-H563))</f>
        <v/>
      </c>
      <c r="J563" s="35" t="str">
        <f>IF(A563="","",D563+H563)</f>
        <v/>
      </c>
    </row>
    <row r="564" spans="1:10" ht="15" customHeight="1">
      <c r="A564" s="32" t="str">
        <f>IF(559&lt;=Datos!$B$13,559,"")</f>
        <v/>
      </c>
      <c r="B564" s="44" t="str">
        <f>IF(A564="","",EDATE(Datos!$B$19,A564-1))</f>
        <v/>
      </c>
      <c r="C564" s="35" t="str">
        <f>IF(A564="","",I563)</f>
        <v/>
      </c>
      <c r="D564" s="35" t="str">
        <f>IF(A564="","",C564*Datos!$B$17/Datos!$B$12)</f>
        <v/>
      </c>
      <c r="E564" s="35" t="str">
        <f>IF(A564="","",MIN(Datos!$B$20,C564+D564))</f>
        <v/>
      </c>
      <c r="F564" s="35" t="str">
        <f>IF(A564="","",MAX(0,E564-D564))</f>
        <v/>
      </c>
      <c r="G564" s="36">
        <v>0</v>
      </c>
      <c r="H564" s="35" t="str">
        <f>IF(A564="","",MIN(C564,F564+G564))</f>
        <v/>
      </c>
      <c r="I564" s="35" t="str">
        <f>IF(A564="","",MAX(0,C564-H564))</f>
        <v/>
      </c>
      <c r="J564" s="35" t="str">
        <f>IF(A564="","",D564+H564)</f>
        <v/>
      </c>
    </row>
    <row r="565" spans="1:10" ht="15" customHeight="1">
      <c r="A565" s="32" t="str">
        <f>IF(560&lt;=Datos!$B$13,560,"")</f>
        <v/>
      </c>
      <c r="B565" s="44" t="str">
        <f>IF(A565="","",EDATE(Datos!$B$19,A565-1))</f>
        <v/>
      </c>
      <c r="C565" s="35" t="str">
        <f>IF(A565="","",I564)</f>
        <v/>
      </c>
      <c r="D565" s="35" t="str">
        <f>IF(A565="","",C565*Datos!$B$17/Datos!$B$12)</f>
        <v/>
      </c>
      <c r="E565" s="35" t="str">
        <f>IF(A565="","",MIN(Datos!$B$20,C565+D565))</f>
        <v/>
      </c>
      <c r="F565" s="35" t="str">
        <f>IF(A565="","",MAX(0,E565-D565))</f>
        <v/>
      </c>
      <c r="G565" s="36">
        <v>0</v>
      </c>
      <c r="H565" s="35" t="str">
        <f>IF(A565="","",MIN(C565,F565+G565))</f>
        <v/>
      </c>
      <c r="I565" s="35" t="str">
        <f>IF(A565="","",MAX(0,C565-H565))</f>
        <v/>
      </c>
      <c r="J565" s="35" t="str">
        <f>IF(A565="","",D565+H565)</f>
        <v/>
      </c>
    </row>
    <row r="566" spans="1:10" ht="15" customHeight="1">
      <c r="A566" s="32" t="str">
        <f>IF(561&lt;=Datos!$B$13,561,"")</f>
        <v/>
      </c>
      <c r="B566" s="44" t="str">
        <f>IF(A566="","",EDATE(Datos!$B$19,A566-1))</f>
        <v/>
      </c>
      <c r="C566" s="35" t="str">
        <f>IF(A566="","",I565)</f>
        <v/>
      </c>
      <c r="D566" s="35" t="str">
        <f>IF(A566="","",C566*Datos!$B$17/Datos!$B$12)</f>
        <v/>
      </c>
      <c r="E566" s="35" t="str">
        <f>IF(A566="","",MIN(Datos!$B$20,C566+D566))</f>
        <v/>
      </c>
      <c r="F566" s="35" t="str">
        <f>IF(A566="","",MAX(0,E566-D566))</f>
        <v/>
      </c>
      <c r="G566" s="36">
        <v>0</v>
      </c>
      <c r="H566" s="35" t="str">
        <f>IF(A566="","",MIN(C566,F566+G566))</f>
        <v/>
      </c>
      <c r="I566" s="35" t="str">
        <f>IF(A566="","",MAX(0,C566-H566))</f>
        <v/>
      </c>
      <c r="J566" s="35" t="str">
        <f>IF(A566="","",D566+H566)</f>
        <v/>
      </c>
    </row>
    <row r="567" spans="1:10" ht="15" customHeight="1">
      <c r="A567" s="32" t="str">
        <f>IF(562&lt;=Datos!$B$13,562,"")</f>
        <v/>
      </c>
      <c r="B567" s="44" t="str">
        <f>IF(A567="","",EDATE(Datos!$B$19,A567-1))</f>
        <v/>
      </c>
      <c r="C567" s="35" t="str">
        <f>IF(A567="","",I566)</f>
        <v/>
      </c>
      <c r="D567" s="35" t="str">
        <f>IF(A567="","",C567*Datos!$B$17/Datos!$B$12)</f>
        <v/>
      </c>
      <c r="E567" s="35" t="str">
        <f>IF(A567="","",MIN(Datos!$B$20,C567+D567))</f>
        <v/>
      </c>
      <c r="F567" s="35" t="str">
        <f>IF(A567="","",MAX(0,E567-D567))</f>
        <v/>
      </c>
      <c r="G567" s="36">
        <v>0</v>
      </c>
      <c r="H567" s="35" t="str">
        <f>IF(A567="","",MIN(C567,F567+G567))</f>
        <v/>
      </c>
      <c r="I567" s="35" t="str">
        <f>IF(A567="","",MAX(0,C567-H567))</f>
        <v/>
      </c>
      <c r="J567" s="35" t="str">
        <f>IF(A567="","",D567+H567)</f>
        <v/>
      </c>
    </row>
    <row r="568" spans="1:10" ht="15" customHeight="1">
      <c r="A568" s="32" t="str">
        <f>IF(563&lt;=Datos!$B$13,563,"")</f>
        <v/>
      </c>
      <c r="B568" s="44" t="str">
        <f>IF(A568="","",EDATE(Datos!$B$19,A568-1))</f>
        <v/>
      </c>
      <c r="C568" s="35" t="str">
        <f>IF(A568="","",I567)</f>
        <v/>
      </c>
      <c r="D568" s="35" t="str">
        <f>IF(A568="","",C568*Datos!$B$17/Datos!$B$12)</f>
        <v/>
      </c>
      <c r="E568" s="35" t="str">
        <f>IF(A568="","",MIN(Datos!$B$20,C568+D568))</f>
        <v/>
      </c>
      <c r="F568" s="35" t="str">
        <f>IF(A568="","",MAX(0,E568-D568))</f>
        <v/>
      </c>
      <c r="G568" s="36">
        <v>0</v>
      </c>
      <c r="H568" s="35" t="str">
        <f>IF(A568="","",MIN(C568,F568+G568))</f>
        <v/>
      </c>
      <c r="I568" s="35" t="str">
        <f>IF(A568="","",MAX(0,C568-H568))</f>
        <v/>
      </c>
      <c r="J568" s="35" t="str">
        <f>IF(A568="","",D568+H568)</f>
        <v/>
      </c>
    </row>
    <row r="569" spans="1:10" ht="15" customHeight="1">
      <c r="A569" s="32" t="str">
        <f>IF(564&lt;=Datos!$B$13,564,"")</f>
        <v/>
      </c>
      <c r="B569" s="44" t="str">
        <f>IF(A569="","",EDATE(Datos!$B$19,A569-1))</f>
        <v/>
      </c>
      <c r="C569" s="35" t="str">
        <f>IF(A569="","",I568)</f>
        <v/>
      </c>
      <c r="D569" s="35" t="str">
        <f>IF(A569="","",C569*Datos!$B$17/Datos!$B$12)</f>
        <v/>
      </c>
      <c r="E569" s="35" t="str">
        <f>IF(A569="","",MIN(Datos!$B$20,C569+D569))</f>
        <v/>
      </c>
      <c r="F569" s="35" t="str">
        <f>IF(A569="","",MAX(0,E569-D569))</f>
        <v/>
      </c>
      <c r="G569" s="36">
        <v>0</v>
      </c>
      <c r="H569" s="35" t="str">
        <f>IF(A569="","",MIN(C569,F569+G569))</f>
        <v/>
      </c>
      <c r="I569" s="35" t="str">
        <f>IF(A569="","",MAX(0,C569-H569))</f>
        <v/>
      </c>
      <c r="J569" s="35" t="str">
        <f>IF(A569="","",D569+H569)</f>
        <v/>
      </c>
    </row>
    <row r="570" spans="1:10" ht="15" customHeight="1">
      <c r="A570" s="32" t="str">
        <f>IF(565&lt;=Datos!$B$13,565,"")</f>
        <v/>
      </c>
      <c r="B570" s="44" t="str">
        <f>IF(A570="","",EDATE(Datos!$B$19,A570-1))</f>
        <v/>
      </c>
      <c r="C570" s="35" t="str">
        <f>IF(A570="","",I569)</f>
        <v/>
      </c>
      <c r="D570" s="35" t="str">
        <f>IF(A570="","",C570*Datos!$B$17/Datos!$B$12)</f>
        <v/>
      </c>
      <c r="E570" s="35" t="str">
        <f>IF(A570="","",MIN(Datos!$B$20,C570+D570))</f>
        <v/>
      </c>
      <c r="F570" s="35" t="str">
        <f>IF(A570="","",MAX(0,E570-D570))</f>
        <v/>
      </c>
      <c r="G570" s="36">
        <v>0</v>
      </c>
      <c r="H570" s="35" t="str">
        <f>IF(A570="","",MIN(C570,F570+G570))</f>
        <v/>
      </c>
      <c r="I570" s="35" t="str">
        <f>IF(A570="","",MAX(0,C570-H570))</f>
        <v/>
      </c>
      <c r="J570" s="35" t="str">
        <f>IF(A570="","",D570+H570)</f>
        <v/>
      </c>
    </row>
    <row r="571" spans="1:10" ht="15" customHeight="1">
      <c r="A571" s="32" t="str">
        <f>IF(566&lt;=Datos!$B$13,566,"")</f>
        <v/>
      </c>
      <c r="B571" s="44" t="str">
        <f>IF(A571="","",EDATE(Datos!$B$19,A571-1))</f>
        <v/>
      </c>
      <c r="C571" s="35" t="str">
        <f>IF(A571="","",I570)</f>
        <v/>
      </c>
      <c r="D571" s="35" t="str">
        <f>IF(A571="","",C571*Datos!$B$17/Datos!$B$12)</f>
        <v/>
      </c>
      <c r="E571" s="35" t="str">
        <f>IF(A571="","",MIN(Datos!$B$20,C571+D571))</f>
        <v/>
      </c>
      <c r="F571" s="35" t="str">
        <f>IF(A571="","",MAX(0,E571-D571))</f>
        <v/>
      </c>
      <c r="G571" s="36">
        <v>0</v>
      </c>
      <c r="H571" s="35" t="str">
        <f>IF(A571="","",MIN(C571,F571+G571))</f>
        <v/>
      </c>
      <c r="I571" s="35" t="str">
        <f>IF(A571="","",MAX(0,C571-H571))</f>
        <v/>
      </c>
      <c r="J571" s="35" t="str">
        <f>IF(A571="","",D571+H571)</f>
        <v/>
      </c>
    </row>
    <row r="572" spans="1:10" ht="15" customHeight="1">
      <c r="A572" s="32" t="str">
        <f>IF(567&lt;=Datos!$B$13,567,"")</f>
        <v/>
      </c>
      <c r="B572" s="44" t="str">
        <f>IF(A572="","",EDATE(Datos!$B$19,A572-1))</f>
        <v/>
      </c>
      <c r="C572" s="35" t="str">
        <f>IF(A572="","",I571)</f>
        <v/>
      </c>
      <c r="D572" s="35" t="str">
        <f>IF(A572="","",C572*Datos!$B$17/Datos!$B$12)</f>
        <v/>
      </c>
      <c r="E572" s="35" t="str">
        <f>IF(A572="","",MIN(Datos!$B$20,C572+D572))</f>
        <v/>
      </c>
      <c r="F572" s="35" t="str">
        <f>IF(A572="","",MAX(0,E572-D572))</f>
        <v/>
      </c>
      <c r="G572" s="36">
        <v>0</v>
      </c>
      <c r="H572" s="35" t="str">
        <f>IF(A572="","",MIN(C572,F572+G572))</f>
        <v/>
      </c>
      <c r="I572" s="35" t="str">
        <f>IF(A572="","",MAX(0,C572-H572))</f>
        <v/>
      </c>
      <c r="J572" s="35" t="str">
        <f>IF(A572="","",D572+H572)</f>
        <v/>
      </c>
    </row>
    <row r="573" spans="1:10" ht="15" customHeight="1">
      <c r="A573" s="32" t="str">
        <f>IF(568&lt;=Datos!$B$13,568,"")</f>
        <v/>
      </c>
      <c r="B573" s="44" t="str">
        <f>IF(A573="","",EDATE(Datos!$B$19,A573-1))</f>
        <v/>
      </c>
      <c r="C573" s="35" t="str">
        <f>IF(A573="","",I572)</f>
        <v/>
      </c>
      <c r="D573" s="35" t="str">
        <f>IF(A573="","",C573*Datos!$B$17/Datos!$B$12)</f>
        <v/>
      </c>
      <c r="E573" s="35" t="str">
        <f>IF(A573="","",MIN(Datos!$B$20,C573+D573))</f>
        <v/>
      </c>
      <c r="F573" s="35" t="str">
        <f>IF(A573="","",MAX(0,E573-D573))</f>
        <v/>
      </c>
      <c r="G573" s="36">
        <v>0</v>
      </c>
      <c r="H573" s="35" t="str">
        <f>IF(A573="","",MIN(C573,F573+G573))</f>
        <v/>
      </c>
      <c r="I573" s="35" t="str">
        <f>IF(A573="","",MAX(0,C573-H573))</f>
        <v/>
      </c>
      <c r="J573" s="35" t="str">
        <f>IF(A573="","",D573+H573)</f>
        <v/>
      </c>
    </row>
    <row r="574" spans="1:10" ht="15" customHeight="1">
      <c r="A574" s="32" t="str">
        <f>IF(569&lt;=Datos!$B$13,569,"")</f>
        <v/>
      </c>
      <c r="B574" s="44" t="str">
        <f>IF(A574="","",EDATE(Datos!$B$19,A574-1))</f>
        <v/>
      </c>
      <c r="C574" s="35" t="str">
        <f>IF(A574="","",I573)</f>
        <v/>
      </c>
      <c r="D574" s="35" t="str">
        <f>IF(A574="","",C574*Datos!$B$17/Datos!$B$12)</f>
        <v/>
      </c>
      <c r="E574" s="35" t="str">
        <f>IF(A574="","",MIN(Datos!$B$20,C574+D574))</f>
        <v/>
      </c>
      <c r="F574" s="35" t="str">
        <f>IF(A574="","",MAX(0,E574-D574))</f>
        <v/>
      </c>
      <c r="G574" s="36">
        <v>0</v>
      </c>
      <c r="H574" s="35" t="str">
        <f>IF(A574="","",MIN(C574,F574+G574))</f>
        <v/>
      </c>
      <c r="I574" s="35" t="str">
        <f>IF(A574="","",MAX(0,C574-H574))</f>
        <v/>
      </c>
      <c r="J574" s="35" t="str">
        <f>IF(A574="","",D574+H574)</f>
        <v/>
      </c>
    </row>
    <row r="575" spans="1:10" ht="15" customHeight="1">
      <c r="A575" s="32" t="str">
        <f>IF(570&lt;=Datos!$B$13,570,"")</f>
        <v/>
      </c>
      <c r="B575" s="44" t="str">
        <f>IF(A575="","",EDATE(Datos!$B$19,A575-1))</f>
        <v/>
      </c>
      <c r="C575" s="35" t="str">
        <f>IF(A575="","",I574)</f>
        <v/>
      </c>
      <c r="D575" s="35" t="str">
        <f>IF(A575="","",C575*Datos!$B$17/Datos!$B$12)</f>
        <v/>
      </c>
      <c r="E575" s="35" t="str">
        <f>IF(A575="","",MIN(Datos!$B$20,C575+D575))</f>
        <v/>
      </c>
      <c r="F575" s="35" t="str">
        <f>IF(A575="","",MAX(0,E575-D575))</f>
        <v/>
      </c>
      <c r="G575" s="36">
        <v>0</v>
      </c>
      <c r="H575" s="35" t="str">
        <f>IF(A575="","",MIN(C575,F575+G575))</f>
        <v/>
      </c>
      <c r="I575" s="35" t="str">
        <f>IF(A575="","",MAX(0,C575-H575))</f>
        <v/>
      </c>
      <c r="J575" s="35" t="str">
        <f>IF(A575="","",D575+H575)</f>
        <v/>
      </c>
    </row>
    <row r="576" spans="1:10" ht="15" customHeight="1">
      <c r="A576" s="32" t="str">
        <f>IF(571&lt;=Datos!$B$13,571,"")</f>
        <v/>
      </c>
      <c r="B576" s="44" t="str">
        <f>IF(A576="","",EDATE(Datos!$B$19,A576-1))</f>
        <v/>
      </c>
      <c r="C576" s="35" t="str">
        <f>IF(A576="","",I575)</f>
        <v/>
      </c>
      <c r="D576" s="35" t="str">
        <f>IF(A576="","",C576*Datos!$B$17/Datos!$B$12)</f>
        <v/>
      </c>
      <c r="E576" s="35" t="str">
        <f>IF(A576="","",MIN(Datos!$B$20,C576+D576))</f>
        <v/>
      </c>
      <c r="F576" s="35" t="str">
        <f>IF(A576="","",MAX(0,E576-D576))</f>
        <v/>
      </c>
      <c r="G576" s="36">
        <v>0</v>
      </c>
      <c r="H576" s="35" t="str">
        <f>IF(A576="","",MIN(C576,F576+G576))</f>
        <v/>
      </c>
      <c r="I576" s="35" t="str">
        <f>IF(A576="","",MAX(0,C576-H576))</f>
        <v/>
      </c>
      <c r="J576" s="35" t="str">
        <f>IF(A576="","",D576+H576)</f>
        <v/>
      </c>
    </row>
    <row r="577" spans="1:10" ht="15" customHeight="1">
      <c r="A577" s="32" t="str">
        <f>IF(572&lt;=Datos!$B$13,572,"")</f>
        <v/>
      </c>
      <c r="B577" s="44" t="str">
        <f>IF(A577="","",EDATE(Datos!$B$19,A577-1))</f>
        <v/>
      </c>
      <c r="C577" s="35" t="str">
        <f>IF(A577="","",I576)</f>
        <v/>
      </c>
      <c r="D577" s="35" t="str">
        <f>IF(A577="","",C577*Datos!$B$17/Datos!$B$12)</f>
        <v/>
      </c>
      <c r="E577" s="35" t="str">
        <f>IF(A577="","",MIN(Datos!$B$20,C577+D577))</f>
        <v/>
      </c>
      <c r="F577" s="35" t="str">
        <f>IF(A577="","",MAX(0,E577-D577))</f>
        <v/>
      </c>
      <c r="G577" s="36">
        <v>0</v>
      </c>
      <c r="H577" s="35" t="str">
        <f>IF(A577="","",MIN(C577,F577+G577))</f>
        <v/>
      </c>
      <c r="I577" s="35" t="str">
        <f>IF(A577="","",MAX(0,C577-H577))</f>
        <v/>
      </c>
      <c r="J577" s="35" t="str">
        <f>IF(A577="","",D577+H577)</f>
        <v/>
      </c>
    </row>
    <row r="578" spans="1:10" ht="15" customHeight="1">
      <c r="A578" s="32" t="str">
        <f>IF(573&lt;=Datos!$B$13,573,"")</f>
        <v/>
      </c>
      <c r="B578" s="44" t="str">
        <f>IF(A578="","",EDATE(Datos!$B$19,A578-1))</f>
        <v/>
      </c>
      <c r="C578" s="35" t="str">
        <f>IF(A578="","",I577)</f>
        <v/>
      </c>
      <c r="D578" s="35" t="str">
        <f>IF(A578="","",C578*Datos!$B$17/Datos!$B$12)</f>
        <v/>
      </c>
      <c r="E578" s="35" t="str">
        <f>IF(A578="","",MIN(Datos!$B$20,C578+D578))</f>
        <v/>
      </c>
      <c r="F578" s="35" t="str">
        <f>IF(A578="","",MAX(0,E578-D578))</f>
        <v/>
      </c>
      <c r="G578" s="36">
        <v>0</v>
      </c>
      <c r="H578" s="35" t="str">
        <f>IF(A578="","",MIN(C578,F578+G578))</f>
        <v/>
      </c>
      <c r="I578" s="35" t="str">
        <f>IF(A578="","",MAX(0,C578-H578))</f>
        <v/>
      </c>
      <c r="J578" s="35" t="str">
        <f>IF(A578="","",D578+H578)</f>
        <v/>
      </c>
    </row>
    <row r="579" spans="1:10" ht="15" customHeight="1">
      <c r="A579" s="32" t="str">
        <f>IF(574&lt;=Datos!$B$13,574,"")</f>
        <v/>
      </c>
      <c r="B579" s="44" t="str">
        <f>IF(A579="","",EDATE(Datos!$B$19,A579-1))</f>
        <v/>
      </c>
      <c r="C579" s="35" t="str">
        <f>IF(A579="","",I578)</f>
        <v/>
      </c>
      <c r="D579" s="35" t="str">
        <f>IF(A579="","",C579*Datos!$B$17/Datos!$B$12)</f>
        <v/>
      </c>
      <c r="E579" s="35" t="str">
        <f>IF(A579="","",MIN(Datos!$B$20,C579+D579))</f>
        <v/>
      </c>
      <c r="F579" s="35" t="str">
        <f>IF(A579="","",MAX(0,E579-D579))</f>
        <v/>
      </c>
      <c r="G579" s="36">
        <v>0</v>
      </c>
      <c r="H579" s="35" t="str">
        <f>IF(A579="","",MIN(C579,F579+G579))</f>
        <v/>
      </c>
      <c r="I579" s="35" t="str">
        <f>IF(A579="","",MAX(0,C579-H579))</f>
        <v/>
      </c>
      <c r="J579" s="35" t="str">
        <f>IF(A579="","",D579+H579)</f>
        <v/>
      </c>
    </row>
    <row r="580" spans="1:10" ht="15" customHeight="1">
      <c r="A580" s="32" t="str">
        <f>IF(575&lt;=Datos!$B$13,575,"")</f>
        <v/>
      </c>
      <c r="B580" s="44" t="str">
        <f>IF(A580="","",EDATE(Datos!$B$19,A580-1))</f>
        <v/>
      </c>
      <c r="C580" s="35" t="str">
        <f>IF(A580="","",I579)</f>
        <v/>
      </c>
      <c r="D580" s="35" t="str">
        <f>IF(A580="","",C580*Datos!$B$17/Datos!$B$12)</f>
        <v/>
      </c>
      <c r="E580" s="35" t="str">
        <f>IF(A580="","",MIN(Datos!$B$20,C580+D580))</f>
        <v/>
      </c>
      <c r="F580" s="35" t="str">
        <f>IF(A580="","",MAX(0,E580-D580))</f>
        <v/>
      </c>
      <c r="G580" s="36">
        <v>0</v>
      </c>
      <c r="H580" s="35" t="str">
        <f>IF(A580="","",MIN(C580,F580+G580))</f>
        <v/>
      </c>
      <c r="I580" s="35" t="str">
        <f>IF(A580="","",MAX(0,C580-H580))</f>
        <v/>
      </c>
      <c r="J580" s="35" t="str">
        <f>IF(A580="","",D580+H580)</f>
        <v/>
      </c>
    </row>
    <row r="581" spans="1:10" ht="15" customHeight="1">
      <c r="A581" s="32" t="str">
        <f>IF(576&lt;=Datos!$B$13,576,"")</f>
        <v/>
      </c>
      <c r="B581" s="44" t="str">
        <f>IF(A581="","",EDATE(Datos!$B$19,A581-1))</f>
        <v/>
      </c>
      <c r="C581" s="35" t="str">
        <f>IF(A581="","",I580)</f>
        <v/>
      </c>
      <c r="D581" s="35" t="str">
        <f>IF(A581="","",C581*Datos!$B$17/Datos!$B$12)</f>
        <v/>
      </c>
      <c r="E581" s="35" t="str">
        <f>IF(A581="","",MIN(Datos!$B$20,C581+D581))</f>
        <v/>
      </c>
      <c r="F581" s="35" t="str">
        <f>IF(A581="","",MAX(0,E581-D581))</f>
        <v/>
      </c>
      <c r="G581" s="36">
        <v>0</v>
      </c>
      <c r="H581" s="35" t="str">
        <f>IF(A581="","",MIN(C581,F581+G581))</f>
        <v/>
      </c>
      <c r="I581" s="35" t="str">
        <f>IF(A581="","",MAX(0,C581-H581))</f>
        <v/>
      </c>
      <c r="J581" s="35" t="str">
        <f>IF(A581="","",D581+H581)</f>
        <v/>
      </c>
    </row>
    <row r="582" spans="1:10" ht="15" customHeight="1">
      <c r="A582" s="32" t="str">
        <f>IF(577&lt;=Datos!$B$13,577,"")</f>
        <v/>
      </c>
      <c r="B582" s="44" t="str">
        <f>IF(A582="","",EDATE(Datos!$B$19,A582-1))</f>
        <v/>
      </c>
      <c r="C582" s="35" t="str">
        <f>IF(A582="","",I581)</f>
        <v/>
      </c>
      <c r="D582" s="35" t="str">
        <f>IF(A582="","",C582*Datos!$B$17/Datos!$B$12)</f>
        <v/>
      </c>
      <c r="E582" s="35" t="str">
        <f>IF(A582="","",MIN(Datos!$B$20,C582+D582))</f>
        <v/>
      </c>
      <c r="F582" s="35" t="str">
        <f>IF(A582="","",MAX(0,E582-D582))</f>
        <v/>
      </c>
      <c r="G582" s="36">
        <v>0</v>
      </c>
      <c r="H582" s="35" t="str">
        <f>IF(A582="","",MIN(C582,F582+G582))</f>
        <v/>
      </c>
      <c r="I582" s="35" t="str">
        <f>IF(A582="","",MAX(0,C582-H582))</f>
        <v/>
      </c>
      <c r="J582" s="35" t="str">
        <f>IF(A582="","",D582+H582)</f>
        <v/>
      </c>
    </row>
    <row r="583" spans="1:10" ht="15" customHeight="1">
      <c r="A583" s="32" t="str">
        <f>IF(578&lt;=Datos!$B$13,578,"")</f>
        <v/>
      </c>
      <c r="B583" s="44" t="str">
        <f>IF(A583="","",EDATE(Datos!$B$19,A583-1))</f>
        <v/>
      </c>
      <c r="C583" s="35" t="str">
        <f>IF(A583="","",I582)</f>
        <v/>
      </c>
      <c r="D583" s="35" t="str">
        <f>IF(A583="","",C583*Datos!$B$17/Datos!$B$12)</f>
        <v/>
      </c>
      <c r="E583" s="35" t="str">
        <f>IF(A583="","",MIN(Datos!$B$20,C583+D583))</f>
        <v/>
      </c>
      <c r="F583" s="35" t="str">
        <f>IF(A583="","",MAX(0,E583-D583))</f>
        <v/>
      </c>
      <c r="G583" s="36">
        <v>0</v>
      </c>
      <c r="H583" s="35" t="str">
        <f>IF(A583="","",MIN(C583,F583+G583))</f>
        <v/>
      </c>
      <c r="I583" s="35" t="str">
        <f>IF(A583="","",MAX(0,C583-H583))</f>
        <v/>
      </c>
      <c r="J583" s="35" t="str">
        <f>IF(A583="","",D583+H583)</f>
        <v/>
      </c>
    </row>
    <row r="584" spans="1:10" ht="15" customHeight="1">
      <c r="A584" s="32" t="str">
        <f>IF(579&lt;=Datos!$B$13,579,"")</f>
        <v/>
      </c>
      <c r="B584" s="44" t="str">
        <f>IF(A584="","",EDATE(Datos!$B$19,A584-1))</f>
        <v/>
      </c>
      <c r="C584" s="35" t="str">
        <f>IF(A584="","",I583)</f>
        <v/>
      </c>
      <c r="D584" s="35" t="str">
        <f>IF(A584="","",C584*Datos!$B$17/Datos!$B$12)</f>
        <v/>
      </c>
      <c r="E584" s="35" t="str">
        <f>IF(A584="","",MIN(Datos!$B$20,C584+D584))</f>
        <v/>
      </c>
      <c r="F584" s="35" t="str">
        <f>IF(A584="","",MAX(0,E584-D584))</f>
        <v/>
      </c>
      <c r="G584" s="36">
        <v>0</v>
      </c>
      <c r="H584" s="35" t="str">
        <f>IF(A584="","",MIN(C584,F584+G584))</f>
        <v/>
      </c>
      <c r="I584" s="35" t="str">
        <f>IF(A584="","",MAX(0,C584-H584))</f>
        <v/>
      </c>
      <c r="J584" s="35" t="str">
        <f>IF(A584="","",D584+H584)</f>
        <v/>
      </c>
    </row>
    <row r="585" spans="1:10" ht="15" customHeight="1">
      <c r="A585" s="32" t="str">
        <f>IF(580&lt;=Datos!$B$13,580,"")</f>
        <v/>
      </c>
      <c r="B585" s="44" t="str">
        <f>IF(A585="","",EDATE(Datos!$B$19,A585-1))</f>
        <v/>
      </c>
      <c r="C585" s="35" t="str">
        <f>IF(A585="","",I584)</f>
        <v/>
      </c>
      <c r="D585" s="35" t="str">
        <f>IF(A585="","",C585*Datos!$B$17/Datos!$B$12)</f>
        <v/>
      </c>
      <c r="E585" s="35" t="str">
        <f>IF(A585="","",MIN(Datos!$B$20,C585+D585))</f>
        <v/>
      </c>
      <c r="F585" s="35" t="str">
        <f>IF(A585="","",MAX(0,E585-D585))</f>
        <v/>
      </c>
      <c r="G585" s="36">
        <v>0</v>
      </c>
      <c r="H585" s="35" t="str">
        <f>IF(A585="","",MIN(C585,F585+G585))</f>
        <v/>
      </c>
      <c r="I585" s="35" t="str">
        <f>IF(A585="","",MAX(0,C585-H585))</f>
        <v/>
      </c>
      <c r="J585" s="35" t="str">
        <f>IF(A585="","",D585+H585)</f>
        <v/>
      </c>
    </row>
    <row r="586" spans="1:10" ht="15" customHeight="1">
      <c r="A586" s="32" t="str">
        <f>IF(581&lt;=Datos!$B$13,581,"")</f>
        <v/>
      </c>
      <c r="B586" s="44" t="str">
        <f>IF(A586="","",EDATE(Datos!$B$19,A586-1))</f>
        <v/>
      </c>
      <c r="C586" s="35" t="str">
        <f>IF(A586="","",I585)</f>
        <v/>
      </c>
      <c r="D586" s="35" t="str">
        <f>IF(A586="","",C586*Datos!$B$17/Datos!$B$12)</f>
        <v/>
      </c>
      <c r="E586" s="35" t="str">
        <f>IF(A586="","",MIN(Datos!$B$20,C586+D586))</f>
        <v/>
      </c>
      <c r="F586" s="35" t="str">
        <f>IF(A586="","",MAX(0,E586-D586))</f>
        <v/>
      </c>
      <c r="G586" s="36">
        <v>0</v>
      </c>
      <c r="H586" s="35" t="str">
        <f>IF(A586="","",MIN(C586,F586+G586))</f>
        <v/>
      </c>
      <c r="I586" s="35" t="str">
        <f>IF(A586="","",MAX(0,C586-H586))</f>
        <v/>
      </c>
      <c r="J586" s="35" t="str">
        <f>IF(A586="","",D586+H586)</f>
        <v/>
      </c>
    </row>
    <row r="587" spans="1:10" ht="15" customHeight="1">
      <c r="A587" s="32" t="str">
        <f>IF(582&lt;=Datos!$B$13,582,"")</f>
        <v/>
      </c>
      <c r="B587" s="44" t="str">
        <f>IF(A587="","",EDATE(Datos!$B$19,A587-1))</f>
        <v/>
      </c>
      <c r="C587" s="35" t="str">
        <f>IF(A587="","",I586)</f>
        <v/>
      </c>
      <c r="D587" s="35" t="str">
        <f>IF(A587="","",C587*Datos!$B$17/Datos!$B$12)</f>
        <v/>
      </c>
      <c r="E587" s="35" t="str">
        <f>IF(A587="","",MIN(Datos!$B$20,C587+D587))</f>
        <v/>
      </c>
      <c r="F587" s="35" t="str">
        <f>IF(A587="","",MAX(0,E587-D587))</f>
        <v/>
      </c>
      <c r="G587" s="36">
        <v>0</v>
      </c>
      <c r="H587" s="35" t="str">
        <f>IF(A587="","",MIN(C587,F587+G587))</f>
        <v/>
      </c>
      <c r="I587" s="35" t="str">
        <f>IF(A587="","",MAX(0,C587-H587))</f>
        <v/>
      </c>
      <c r="J587" s="35" t="str">
        <f>IF(A587="","",D587+H587)</f>
        <v/>
      </c>
    </row>
    <row r="588" spans="1:10" ht="15" customHeight="1">
      <c r="A588" s="32" t="str">
        <f>IF(583&lt;=Datos!$B$13,583,"")</f>
        <v/>
      </c>
      <c r="B588" s="44" t="str">
        <f>IF(A588="","",EDATE(Datos!$B$19,A588-1))</f>
        <v/>
      </c>
      <c r="C588" s="35" t="str">
        <f>IF(A588="","",I587)</f>
        <v/>
      </c>
      <c r="D588" s="35" t="str">
        <f>IF(A588="","",C588*Datos!$B$17/Datos!$B$12)</f>
        <v/>
      </c>
      <c r="E588" s="35" t="str">
        <f>IF(A588="","",MIN(Datos!$B$20,C588+D588))</f>
        <v/>
      </c>
      <c r="F588" s="35" t="str">
        <f>IF(A588="","",MAX(0,E588-D588))</f>
        <v/>
      </c>
      <c r="G588" s="36">
        <v>0</v>
      </c>
      <c r="H588" s="35" t="str">
        <f>IF(A588="","",MIN(C588,F588+G588))</f>
        <v/>
      </c>
      <c r="I588" s="35" t="str">
        <f>IF(A588="","",MAX(0,C588-H588))</f>
        <v/>
      </c>
      <c r="J588" s="35" t="str">
        <f>IF(A588="","",D588+H588)</f>
        <v/>
      </c>
    </row>
    <row r="589" spans="1:10" ht="15" customHeight="1">
      <c r="A589" s="32" t="str">
        <f>IF(584&lt;=Datos!$B$13,584,"")</f>
        <v/>
      </c>
      <c r="B589" s="44" t="str">
        <f>IF(A589="","",EDATE(Datos!$B$19,A589-1))</f>
        <v/>
      </c>
      <c r="C589" s="35" t="str">
        <f>IF(A589="","",I588)</f>
        <v/>
      </c>
      <c r="D589" s="35" t="str">
        <f>IF(A589="","",C589*Datos!$B$17/Datos!$B$12)</f>
        <v/>
      </c>
      <c r="E589" s="35" t="str">
        <f>IF(A589="","",MIN(Datos!$B$20,C589+D589))</f>
        <v/>
      </c>
      <c r="F589" s="35" t="str">
        <f>IF(A589="","",MAX(0,E589-D589))</f>
        <v/>
      </c>
      <c r="G589" s="36">
        <v>0</v>
      </c>
      <c r="H589" s="35" t="str">
        <f>IF(A589="","",MIN(C589,F589+G589))</f>
        <v/>
      </c>
      <c r="I589" s="35" t="str">
        <f>IF(A589="","",MAX(0,C589-H589))</f>
        <v/>
      </c>
      <c r="J589" s="35" t="str">
        <f>IF(A589="","",D589+H589)</f>
        <v/>
      </c>
    </row>
    <row r="590" spans="1:10" ht="15" customHeight="1">
      <c r="A590" s="32" t="str">
        <f>IF(585&lt;=Datos!$B$13,585,"")</f>
        <v/>
      </c>
      <c r="B590" s="44" t="str">
        <f>IF(A590="","",EDATE(Datos!$B$19,A590-1))</f>
        <v/>
      </c>
      <c r="C590" s="35" t="str">
        <f>IF(A590="","",I589)</f>
        <v/>
      </c>
      <c r="D590" s="35" t="str">
        <f>IF(A590="","",C590*Datos!$B$17/Datos!$B$12)</f>
        <v/>
      </c>
      <c r="E590" s="35" t="str">
        <f>IF(A590="","",MIN(Datos!$B$20,C590+D590))</f>
        <v/>
      </c>
      <c r="F590" s="35" t="str">
        <f>IF(A590="","",MAX(0,E590-D590))</f>
        <v/>
      </c>
      <c r="G590" s="36">
        <v>0</v>
      </c>
      <c r="H590" s="35" t="str">
        <f>IF(A590="","",MIN(C590,F590+G590))</f>
        <v/>
      </c>
      <c r="I590" s="35" t="str">
        <f>IF(A590="","",MAX(0,C590-H590))</f>
        <v/>
      </c>
      <c r="J590" s="35" t="str">
        <f>IF(A590="","",D590+H590)</f>
        <v/>
      </c>
    </row>
    <row r="591" spans="1:10" ht="15" customHeight="1">
      <c r="A591" s="32" t="str">
        <f>IF(586&lt;=Datos!$B$13,586,"")</f>
        <v/>
      </c>
      <c r="B591" s="44" t="str">
        <f>IF(A591="","",EDATE(Datos!$B$19,A591-1))</f>
        <v/>
      </c>
      <c r="C591" s="35" t="str">
        <f>IF(A591="","",I590)</f>
        <v/>
      </c>
      <c r="D591" s="35" t="str">
        <f>IF(A591="","",C591*Datos!$B$17/Datos!$B$12)</f>
        <v/>
      </c>
      <c r="E591" s="35" t="str">
        <f>IF(A591="","",MIN(Datos!$B$20,C591+D591))</f>
        <v/>
      </c>
      <c r="F591" s="35" t="str">
        <f>IF(A591="","",MAX(0,E591-D591))</f>
        <v/>
      </c>
      <c r="G591" s="36">
        <v>0</v>
      </c>
      <c r="H591" s="35" t="str">
        <f>IF(A591="","",MIN(C591,F591+G591))</f>
        <v/>
      </c>
      <c r="I591" s="35" t="str">
        <f>IF(A591="","",MAX(0,C591-H591))</f>
        <v/>
      </c>
      <c r="J591" s="35" t="str">
        <f>IF(A591="","",D591+H591)</f>
        <v/>
      </c>
    </row>
    <row r="592" spans="1:10" ht="15" customHeight="1">
      <c r="A592" s="32" t="str">
        <f>IF(587&lt;=Datos!$B$13,587,"")</f>
        <v/>
      </c>
      <c r="B592" s="44" t="str">
        <f>IF(A592="","",EDATE(Datos!$B$19,A592-1))</f>
        <v/>
      </c>
      <c r="C592" s="35" t="str">
        <f>IF(A592="","",I591)</f>
        <v/>
      </c>
      <c r="D592" s="35" t="str">
        <f>IF(A592="","",C592*Datos!$B$17/Datos!$B$12)</f>
        <v/>
      </c>
      <c r="E592" s="35" t="str">
        <f>IF(A592="","",MIN(Datos!$B$20,C592+D592))</f>
        <v/>
      </c>
      <c r="F592" s="35" t="str">
        <f>IF(A592="","",MAX(0,E592-D592))</f>
        <v/>
      </c>
      <c r="G592" s="36">
        <v>0</v>
      </c>
      <c r="H592" s="35" t="str">
        <f>IF(A592="","",MIN(C592,F592+G592))</f>
        <v/>
      </c>
      <c r="I592" s="35" t="str">
        <f>IF(A592="","",MAX(0,C592-H592))</f>
        <v/>
      </c>
      <c r="J592" s="35" t="str">
        <f>IF(A592="","",D592+H592)</f>
        <v/>
      </c>
    </row>
    <row r="593" spans="1:10" ht="15" customHeight="1">
      <c r="A593" s="32" t="str">
        <f>IF(588&lt;=Datos!$B$13,588,"")</f>
        <v/>
      </c>
      <c r="B593" s="44" t="str">
        <f>IF(A593="","",EDATE(Datos!$B$19,A593-1))</f>
        <v/>
      </c>
      <c r="C593" s="35" t="str">
        <f>IF(A593="","",I592)</f>
        <v/>
      </c>
      <c r="D593" s="35" t="str">
        <f>IF(A593="","",C593*Datos!$B$17/Datos!$B$12)</f>
        <v/>
      </c>
      <c r="E593" s="35" t="str">
        <f>IF(A593="","",MIN(Datos!$B$20,C593+D593))</f>
        <v/>
      </c>
      <c r="F593" s="35" t="str">
        <f>IF(A593="","",MAX(0,E593-D593))</f>
        <v/>
      </c>
      <c r="G593" s="36">
        <v>0</v>
      </c>
      <c r="H593" s="35" t="str">
        <f>IF(A593="","",MIN(C593,F593+G593))</f>
        <v/>
      </c>
      <c r="I593" s="35" t="str">
        <f>IF(A593="","",MAX(0,C593-H593))</f>
        <v/>
      </c>
      <c r="J593" s="35" t="str">
        <f>IF(A593="","",D593+H593)</f>
        <v/>
      </c>
    </row>
    <row r="594" spans="1:10" ht="15" customHeight="1">
      <c r="A594" s="32" t="str">
        <f>IF(589&lt;=Datos!$B$13,589,"")</f>
        <v/>
      </c>
      <c r="B594" s="44" t="str">
        <f>IF(A594="","",EDATE(Datos!$B$19,A594-1))</f>
        <v/>
      </c>
      <c r="C594" s="35" t="str">
        <f>IF(A594="","",I593)</f>
        <v/>
      </c>
      <c r="D594" s="35" t="str">
        <f>IF(A594="","",C594*Datos!$B$17/Datos!$B$12)</f>
        <v/>
      </c>
      <c r="E594" s="35" t="str">
        <f>IF(A594="","",MIN(Datos!$B$20,C594+D594))</f>
        <v/>
      </c>
      <c r="F594" s="35" t="str">
        <f>IF(A594="","",MAX(0,E594-D594))</f>
        <v/>
      </c>
      <c r="G594" s="36">
        <v>0</v>
      </c>
      <c r="H594" s="35" t="str">
        <f>IF(A594="","",MIN(C594,F594+G594))</f>
        <v/>
      </c>
      <c r="I594" s="35" t="str">
        <f>IF(A594="","",MAX(0,C594-H594))</f>
        <v/>
      </c>
      <c r="J594" s="35" t="str">
        <f>IF(A594="","",D594+H594)</f>
        <v/>
      </c>
    </row>
    <row r="595" spans="1:10" ht="15" customHeight="1">
      <c r="A595" s="32" t="str">
        <f>IF(590&lt;=Datos!$B$13,590,"")</f>
        <v/>
      </c>
      <c r="B595" s="44" t="str">
        <f>IF(A595="","",EDATE(Datos!$B$19,A595-1))</f>
        <v/>
      </c>
      <c r="C595" s="35" t="str">
        <f>IF(A595="","",I594)</f>
        <v/>
      </c>
      <c r="D595" s="35" t="str">
        <f>IF(A595="","",C595*Datos!$B$17/Datos!$B$12)</f>
        <v/>
      </c>
      <c r="E595" s="35" t="str">
        <f>IF(A595="","",MIN(Datos!$B$20,C595+D595))</f>
        <v/>
      </c>
      <c r="F595" s="35" t="str">
        <f>IF(A595="","",MAX(0,E595-D595))</f>
        <v/>
      </c>
      <c r="G595" s="36">
        <v>0</v>
      </c>
      <c r="H595" s="35" t="str">
        <f>IF(A595="","",MIN(C595,F595+G595))</f>
        <v/>
      </c>
      <c r="I595" s="35" t="str">
        <f>IF(A595="","",MAX(0,C595-H595))</f>
        <v/>
      </c>
      <c r="J595" s="35" t="str">
        <f>IF(A595="","",D595+H595)</f>
        <v/>
      </c>
    </row>
    <row r="596" spans="1:10" ht="15" customHeight="1">
      <c r="A596" s="32" t="str">
        <f>IF(591&lt;=Datos!$B$13,591,"")</f>
        <v/>
      </c>
      <c r="B596" s="44" t="str">
        <f>IF(A596="","",EDATE(Datos!$B$19,A596-1))</f>
        <v/>
      </c>
      <c r="C596" s="35" t="str">
        <f>IF(A596="","",I595)</f>
        <v/>
      </c>
      <c r="D596" s="35" t="str">
        <f>IF(A596="","",C596*Datos!$B$17/Datos!$B$12)</f>
        <v/>
      </c>
      <c r="E596" s="35" t="str">
        <f>IF(A596="","",MIN(Datos!$B$20,C596+D596))</f>
        <v/>
      </c>
      <c r="F596" s="35" t="str">
        <f>IF(A596="","",MAX(0,E596-D596))</f>
        <v/>
      </c>
      <c r="G596" s="36">
        <v>0</v>
      </c>
      <c r="H596" s="35" t="str">
        <f>IF(A596="","",MIN(C596,F596+G596))</f>
        <v/>
      </c>
      <c r="I596" s="35" t="str">
        <f>IF(A596="","",MAX(0,C596-H596))</f>
        <v/>
      </c>
      <c r="J596" s="35" t="str">
        <f>IF(A596="","",D596+H596)</f>
        <v/>
      </c>
    </row>
    <row r="597" spans="1:10" ht="15" customHeight="1">
      <c r="A597" s="32" t="str">
        <f>IF(592&lt;=Datos!$B$13,592,"")</f>
        <v/>
      </c>
      <c r="B597" s="44" t="str">
        <f>IF(A597="","",EDATE(Datos!$B$19,A597-1))</f>
        <v/>
      </c>
      <c r="C597" s="35" t="str">
        <f>IF(A597="","",I596)</f>
        <v/>
      </c>
      <c r="D597" s="35" t="str">
        <f>IF(A597="","",C597*Datos!$B$17/Datos!$B$12)</f>
        <v/>
      </c>
      <c r="E597" s="35" t="str">
        <f>IF(A597="","",MIN(Datos!$B$20,C597+D597))</f>
        <v/>
      </c>
      <c r="F597" s="35" t="str">
        <f>IF(A597="","",MAX(0,E597-D597))</f>
        <v/>
      </c>
      <c r="G597" s="36">
        <v>0</v>
      </c>
      <c r="H597" s="35" t="str">
        <f>IF(A597="","",MIN(C597,F597+G597))</f>
        <v/>
      </c>
      <c r="I597" s="35" t="str">
        <f>IF(A597="","",MAX(0,C597-H597))</f>
        <v/>
      </c>
      <c r="J597" s="35" t="str">
        <f>IF(A597="","",D597+H597)</f>
        <v/>
      </c>
    </row>
    <row r="598" spans="1:10" ht="15" customHeight="1">
      <c r="A598" s="32" t="str">
        <f>IF(593&lt;=Datos!$B$13,593,"")</f>
        <v/>
      </c>
      <c r="B598" s="44" t="str">
        <f>IF(A598="","",EDATE(Datos!$B$19,A598-1))</f>
        <v/>
      </c>
      <c r="C598" s="35" t="str">
        <f>IF(A598="","",I597)</f>
        <v/>
      </c>
      <c r="D598" s="35" t="str">
        <f>IF(A598="","",C598*Datos!$B$17/Datos!$B$12)</f>
        <v/>
      </c>
      <c r="E598" s="35" t="str">
        <f>IF(A598="","",MIN(Datos!$B$20,C598+D598))</f>
        <v/>
      </c>
      <c r="F598" s="35" t="str">
        <f>IF(A598="","",MAX(0,E598-D598))</f>
        <v/>
      </c>
      <c r="G598" s="36">
        <v>0</v>
      </c>
      <c r="H598" s="35" t="str">
        <f>IF(A598="","",MIN(C598,F598+G598))</f>
        <v/>
      </c>
      <c r="I598" s="35" t="str">
        <f>IF(A598="","",MAX(0,C598-H598))</f>
        <v/>
      </c>
      <c r="J598" s="35" t="str">
        <f>IF(A598="","",D598+H598)</f>
        <v/>
      </c>
    </row>
    <row r="599" spans="1:10" ht="15" customHeight="1">
      <c r="A599" s="32" t="str">
        <f>IF(594&lt;=Datos!$B$13,594,"")</f>
        <v/>
      </c>
      <c r="B599" s="44" t="str">
        <f>IF(A599="","",EDATE(Datos!$B$19,A599-1))</f>
        <v/>
      </c>
      <c r="C599" s="35" t="str">
        <f>IF(A599="","",I598)</f>
        <v/>
      </c>
      <c r="D599" s="35" t="str">
        <f>IF(A599="","",C599*Datos!$B$17/Datos!$B$12)</f>
        <v/>
      </c>
      <c r="E599" s="35" t="str">
        <f>IF(A599="","",MIN(Datos!$B$20,C599+D599))</f>
        <v/>
      </c>
      <c r="F599" s="35" t="str">
        <f>IF(A599="","",MAX(0,E599-D599))</f>
        <v/>
      </c>
      <c r="G599" s="36">
        <v>0</v>
      </c>
      <c r="H599" s="35" t="str">
        <f>IF(A599="","",MIN(C599,F599+G599))</f>
        <v/>
      </c>
      <c r="I599" s="35" t="str">
        <f>IF(A599="","",MAX(0,C599-H599))</f>
        <v/>
      </c>
      <c r="J599" s="35" t="str">
        <f>IF(A599="","",D599+H599)</f>
        <v/>
      </c>
    </row>
    <row r="600" spans="1:10" ht="15" customHeight="1">
      <c r="A600" s="32" t="str">
        <f>IF(595&lt;=Datos!$B$13,595,"")</f>
        <v/>
      </c>
      <c r="B600" s="44" t="str">
        <f>IF(A600="","",EDATE(Datos!$B$19,A600-1))</f>
        <v/>
      </c>
      <c r="C600" s="35" t="str">
        <f>IF(A600="","",I599)</f>
        <v/>
      </c>
      <c r="D600" s="35" t="str">
        <f>IF(A600="","",C600*Datos!$B$17/Datos!$B$12)</f>
        <v/>
      </c>
      <c r="E600" s="35" t="str">
        <f>IF(A600="","",MIN(Datos!$B$20,C600+D600))</f>
        <v/>
      </c>
      <c r="F600" s="35" t="str">
        <f>IF(A600="","",MAX(0,E600-D600))</f>
        <v/>
      </c>
      <c r="G600" s="36">
        <v>0</v>
      </c>
      <c r="H600" s="35" t="str">
        <f>IF(A600="","",MIN(C600,F600+G600))</f>
        <v/>
      </c>
      <c r="I600" s="35" t="str">
        <f>IF(A600="","",MAX(0,C600-H600))</f>
        <v/>
      </c>
      <c r="J600" s="35" t="str">
        <f>IF(A600="","",D600+H600)</f>
        <v/>
      </c>
    </row>
    <row r="601" spans="1:10" ht="15" customHeight="1">
      <c r="A601" s="32" t="str">
        <f>IF(596&lt;=Datos!$B$13,596,"")</f>
        <v/>
      </c>
      <c r="B601" s="44" t="str">
        <f>IF(A601="","",EDATE(Datos!$B$19,A601-1))</f>
        <v/>
      </c>
      <c r="C601" s="35" t="str">
        <f>IF(A601="","",I600)</f>
        <v/>
      </c>
      <c r="D601" s="35" t="str">
        <f>IF(A601="","",C601*Datos!$B$17/Datos!$B$12)</f>
        <v/>
      </c>
      <c r="E601" s="35" t="str">
        <f>IF(A601="","",MIN(Datos!$B$20,C601+D601))</f>
        <v/>
      </c>
      <c r="F601" s="35" t="str">
        <f>IF(A601="","",MAX(0,E601-D601))</f>
        <v/>
      </c>
      <c r="G601" s="36">
        <v>0</v>
      </c>
      <c r="H601" s="35" t="str">
        <f>IF(A601="","",MIN(C601,F601+G601))</f>
        <v/>
      </c>
      <c r="I601" s="35" t="str">
        <f>IF(A601="","",MAX(0,C601-H601))</f>
        <v/>
      </c>
      <c r="J601" s="35" t="str">
        <f>IF(A601="","",D601+H601)</f>
        <v/>
      </c>
    </row>
    <row r="602" spans="1:10" ht="15" customHeight="1">
      <c r="A602" s="32" t="str">
        <f>IF(597&lt;=Datos!$B$13,597,"")</f>
        <v/>
      </c>
      <c r="B602" s="44" t="str">
        <f>IF(A602="","",EDATE(Datos!$B$19,A602-1))</f>
        <v/>
      </c>
      <c r="C602" s="35" t="str">
        <f>IF(A602="","",I601)</f>
        <v/>
      </c>
      <c r="D602" s="35" t="str">
        <f>IF(A602="","",C602*Datos!$B$17/Datos!$B$12)</f>
        <v/>
      </c>
      <c r="E602" s="35" t="str">
        <f>IF(A602="","",MIN(Datos!$B$20,C602+D602))</f>
        <v/>
      </c>
      <c r="F602" s="35" t="str">
        <f>IF(A602="","",MAX(0,E602-D602))</f>
        <v/>
      </c>
      <c r="G602" s="36">
        <v>0</v>
      </c>
      <c r="H602" s="35" t="str">
        <f>IF(A602="","",MIN(C602,F602+G602))</f>
        <v/>
      </c>
      <c r="I602" s="35" t="str">
        <f>IF(A602="","",MAX(0,C602-H602))</f>
        <v/>
      </c>
      <c r="J602" s="35" t="str">
        <f>IF(A602="","",D602+H602)</f>
        <v/>
      </c>
    </row>
    <row r="603" spans="1:10" ht="15" customHeight="1">
      <c r="A603" s="32" t="str">
        <f>IF(598&lt;=Datos!$B$13,598,"")</f>
        <v/>
      </c>
      <c r="B603" s="44" t="str">
        <f>IF(A603="","",EDATE(Datos!$B$19,A603-1))</f>
        <v/>
      </c>
      <c r="C603" s="35" t="str">
        <f>IF(A603="","",I602)</f>
        <v/>
      </c>
      <c r="D603" s="35" t="str">
        <f>IF(A603="","",C603*Datos!$B$17/Datos!$B$12)</f>
        <v/>
      </c>
      <c r="E603" s="35" t="str">
        <f>IF(A603="","",MIN(Datos!$B$20,C603+D603))</f>
        <v/>
      </c>
      <c r="F603" s="35" t="str">
        <f>IF(A603="","",MAX(0,E603-D603))</f>
        <v/>
      </c>
      <c r="G603" s="36">
        <v>0</v>
      </c>
      <c r="H603" s="35" t="str">
        <f>IF(A603="","",MIN(C603,F603+G603))</f>
        <v/>
      </c>
      <c r="I603" s="35" t="str">
        <f>IF(A603="","",MAX(0,C603-H603))</f>
        <v/>
      </c>
      <c r="J603" s="35" t="str">
        <f>IF(A603="","",D603+H603)</f>
        <v/>
      </c>
    </row>
    <row r="604" spans="1:10" ht="15" customHeight="1">
      <c r="A604" s="32" t="str">
        <f>IF(599&lt;=Datos!$B$13,599,"")</f>
        <v/>
      </c>
      <c r="B604" s="44" t="str">
        <f>IF(A604="","",EDATE(Datos!$B$19,A604-1))</f>
        <v/>
      </c>
      <c r="C604" s="35" t="str">
        <f>IF(A604="","",I603)</f>
        <v/>
      </c>
      <c r="D604" s="35" t="str">
        <f>IF(A604="","",C604*Datos!$B$17/Datos!$B$12)</f>
        <v/>
      </c>
      <c r="E604" s="35" t="str">
        <f>IF(A604="","",MIN(Datos!$B$20,C604+D604))</f>
        <v/>
      </c>
      <c r="F604" s="35" t="str">
        <f>IF(A604="","",MAX(0,E604-D604))</f>
        <v/>
      </c>
      <c r="G604" s="36">
        <v>0</v>
      </c>
      <c r="H604" s="35" t="str">
        <f>IF(A604="","",MIN(C604,F604+G604))</f>
        <v/>
      </c>
      <c r="I604" s="35" t="str">
        <f>IF(A604="","",MAX(0,C604-H604))</f>
        <v/>
      </c>
      <c r="J604" s="35" t="str">
        <f>IF(A604="","",D604+H604)</f>
        <v/>
      </c>
    </row>
    <row r="605" spans="1:10" ht="15" customHeight="1">
      <c r="A605" s="32" t="str">
        <f>IF(600&lt;=Datos!$B$13,600,"")</f>
        <v/>
      </c>
      <c r="B605" s="44" t="str">
        <f>IF(A605="","",EDATE(Datos!$B$19,A605-1))</f>
        <v/>
      </c>
      <c r="C605" s="35" t="str">
        <f>IF(A605="","",I604)</f>
        <v/>
      </c>
      <c r="D605" s="35" t="str">
        <f>IF(A605="","",C605*Datos!$B$17/Datos!$B$12)</f>
        <v/>
      </c>
      <c r="E605" s="35" t="str">
        <f>IF(A605="","",MIN(Datos!$B$20,C605+D605))</f>
        <v/>
      </c>
      <c r="F605" s="35" t="str">
        <f>IF(A605="","",MAX(0,E605-D605))</f>
        <v/>
      </c>
      <c r="G605" s="36">
        <v>0</v>
      </c>
      <c r="H605" s="35" t="str">
        <f>IF(A605="","",MIN(C605,F605+G605))</f>
        <v/>
      </c>
      <c r="I605" s="35" t="str">
        <f>IF(A605="","",MAX(0,C605-H605))</f>
        <v/>
      </c>
      <c r="J605" s="35" t="str">
        <f>IF(A605="","",D605+H605)</f>
        <v/>
      </c>
    </row>
  </sheetData>
  <autoFilter ref="A5:J605" xr:uid="{00000000-0009-0000-0000-000006000000}"/>
  <mergeCells count="2">
    <mergeCell ref="A1:J1"/>
    <mergeCell ref="A3:J3"/>
  </mergeCells>
  <pageMargins left="0.75" right="0.75" top="1" bottom="1" header="0.511811023622047" footer="0.511811023622047"/>
  <pageSetup fitToHeight="0" orientation="portrait" horizontalDpi="300" verticalDpi="300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2"/>
  <sheetViews>
    <sheetView showGridLines="0" zoomScale="90" zoomScaleNormal="90" workbookViewId="0">
      <pane ySplit="3" topLeftCell="A4" activePane="bottomLeft" state="frozen"/>
      <selection pane="bottomLeft"/>
    </sheetView>
  </sheetViews>
  <sheetFormatPr defaultColWidth="8.7109375" defaultRowHeight="15"/>
  <cols>
    <col min="1" max="1" width="18" customWidth="1"/>
    <col min="2" max="7" width="14" customWidth="1"/>
  </cols>
  <sheetData>
    <row r="1" spans="1:7" ht="25.5" customHeight="1">
      <c r="A1" s="61" t="s">
        <v>256</v>
      </c>
      <c r="B1" s="61"/>
      <c r="C1" s="61"/>
      <c r="D1" s="61"/>
      <c r="E1" s="61"/>
      <c r="F1" s="61"/>
      <c r="G1" s="61"/>
    </row>
    <row r="3" spans="1:7" ht="15" customHeight="1">
      <c r="A3" s="63" t="s">
        <v>257</v>
      </c>
      <c r="B3" s="63"/>
      <c r="C3" s="63"/>
      <c r="D3" s="63"/>
      <c r="E3" s="63"/>
      <c r="F3" s="63"/>
      <c r="G3" s="63"/>
    </row>
    <row r="5" spans="1:7" ht="15" customHeight="1">
      <c r="A5" s="59" t="s">
        <v>258</v>
      </c>
      <c r="B5" s="59"/>
      <c r="C5" s="59"/>
      <c r="D5" s="59"/>
      <c r="E5" s="59"/>
      <c r="F5" s="59"/>
      <c r="G5" s="59"/>
    </row>
    <row r="6" spans="1:7" ht="15" customHeight="1">
      <c r="A6" s="38" t="s">
        <v>259</v>
      </c>
      <c r="B6" s="30">
        <v>0.6</v>
      </c>
      <c r="C6" s="30">
        <v>0.7</v>
      </c>
      <c r="D6" s="30">
        <v>0.8</v>
      </c>
      <c r="E6" s="30">
        <v>0.9</v>
      </c>
      <c r="F6" s="30">
        <v>1</v>
      </c>
    </row>
    <row r="7" spans="1:7" ht="15" customHeight="1">
      <c r="A7" s="30">
        <v>0.02</v>
      </c>
      <c r="B7" s="35">
        <f>IF($A7=0,Datos!$B$6*B$6/Datos!$B$13,-PMT($A7/Datos!$B$12,Datos!$B$13,Datos!$B$6*B$6))</f>
        <v>554.42920903323079</v>
      </c>
      <c r="C7" s="35">
        <f>IF($A7=0,Datos!$B$6*C$6/Datos!$B$13,-PMT($A7/Datos!$B$12,Datos!$B$13,Datos!$B$6*C$6))</f>
        <v>646.83407720543596</v>
      </c>
      <c r="D7" s="35">
        <f>IF($A7=0,Datos!$B$6*D$6/Datos!$B$13,-PMT($A7/Datos!$B$12,Datos!$B$13,Datos!$B$6*D$6))</f>
        <v>739.23894537764113</v>
      </c>
      <c r="E7" s="35">
        <f>IF($A7=0,Datos!$B$6*E$6/Datos!$B$13,-PMT($A7/Datos!$B$12,Datos!$B$13,Datos!$B$6*E$6))</f>
        <v>831.64381354984619</v>
      </c>
      <c r="F7" s="35">
        <f>IF($A7=0,Datos!$B$6*F$6/Datos!$B$13,-PMT($A7/Datos!$B$12,Datos!$B$13,Datos!$B$6*F$6))</f>
        <v>924.04868172205136</v>
      </c>
    </row>
    <row r="8" spans="1:7" ht="15" customHeight="1">
      <c r="A8" s="30">
        <v>2.5000000000000001E-2</v>
      </c>
      <c r="B8" s="35">
        <f>IF($A8=0,Datos!$B$6*B$6/Datos!$B$13,-PMT($A8/Datos!$B$12,Datos!$B$13,Datos!$B$6*B$6))</f>
        <v>592.68134822659795</v>
      </c>
      <c r="C8" s="35">
        <f>IF($A8=0,Datos!$B$6*C$6/Datos!$B$13,-PMT($A8/Datos!$B$12,Datos!$B$13,Datos!$B$6*C$6))</f>
        <v>691.46157293103113</v>
      </c>
      <c r="D8" s="35">
        <f>IF($A8=0,Datos!$B$6*D$6/Datos!$B$13,-PMT($A8/Datos!$B$12,Datos!$B$13,Datos!$B$6*D$6))</f>
        <v>790.24179763546408</v>
      </c>
      <c r="E8" s="35">
        <f>IF($A8=0,Datos!$B$6*E$6/Datos!$B$13,-PMT($A8/Datos!$B$12,Datos!$B$13,Datos!$B$6*E$6))</f>
        <v>889.02202233989703</v>
      </c>
      <c r="F8" s="35">
        <f>IF($A8=0,Datos!$B$6*F$6/Datos!$B$13,-PMT($A8/Datos!$B$12,Datos!$B$13,Datos!$B$6*F$6))</f>
        <v>987.8022470443301</v>
      </c>
    </row>
    <row r="9" spans="1:7" ht="15" customHeight="1">
      <c r="A9" s="30">
        <v>0.03</v>
      </c>
      <c r="B9" s="35">
        <f>IF($A9=0,Datos!$B$6*B$6/Datos!$B$13,-PMT($A9/Datos!$B$12,Datos!$B$13,Datos!$B$6*B$6))</f>
        <v>632.40605059417567</v>
      </c>
      <c r="C9" s="35">
        <f>IF($A9=0,Datos!$B$6*C$6/Datos!$B$13,-PMT($A9/Datos!$B$12,Datos!$B$13,Datos!$B$6*C$6))</f>
        <v>737.80705902653835</v>
      </c>
      <c r="D9" s="35">
        <f>IF($A9=0,Datos!$B$6*D$6/Datos!$B$13,-PMT($A9/Datos!$B$12,Datos!$B$13,Datos!$B$6*D$6))</f>
        <v>843.20806745890093</v>
      </c>
      <c r="E9" s="35">
        <f>IF($A9=0,Datos!$B$6*E$6/Datos!$B$13,-PMT($A9/Datos!$B$12,Datos!$B$13,Datos!$B$6*E$6))</f>
        <v>948.60907589126361</v>
      </c>
      <c r="F9" s="35">
        <f>IF($A9=0,Datos!$B$6*F$6/Datos!$B$13,-PMT($A9/Datos!$B$12,Datos!$B$13,Datos!$B$6*F$6))</f>
        <v>1054.0100843236262</v>
      </c>
    </row>
    <row r="10" spans="1:7" ht="15" customHeight="1">
      <c r="A10" s="30">
        <v>3.5000000000000003E-2</v>
      </c>
      <c r="B10" s="35">
        <f>IF($A10=0,Datos!$B$6*B$6/Datos!$B$13,-PMT($A10/Datos!$B$12,Datos!$B$13,Datos!$B$6*B$6))</f>
        <v>673.5670317132367</v>
      </c>
      <c r="C10" s="35">
        <f>IF($A10=0,Datos!$B$6*C$6/Datos!$B$13,-PMT($A10/Datos!$B$12,Datos!$B$13,Datos!$B$6*C$6))</f>
        <v>785.82820366544274</v>
      </c>
      <c r="D10" s="35">
        <f>IF($A10=0,Datos!$B$6*D$6/Datos!$B$13,-PMT($A10/Datos!$B$12,Datos!$B$13,Datos!$B$6*D$6))</f>
        <v>898.08937561764901</v>
      </c>
      <c r="E10" s="35">
        <f>IF($A10=0,Datos!$B$6*E$6/Datos!$B$13,-PMT($A10/Datos!$B$12,Datos!$B$13,Datos!$B$6*E$6))</f>
        <v>1010.3505475698551</v>
      </c>
      <c r="F10" s="35">
        <f>IF($A10=0,Datos!$B$6*F$6/Datos!$B$13,-PMT($A10/Datos!$B$12,Datos!$B$13,Datos!$B$6*F$6))</f>
        <v>1122.6117195220611</v>
      </c>
    </row>
    <row r="11" spans="1:7" ht="15" customHeight="1">
      <c r="A11" s="30">
        <v>0.04</v>
      </c>
      <c r="B11" s="35">
        <f>IF($A11=0,Datos!$B$6*B$6/Datos!$B$13,-PMT($A11/Datos!$B$12,Datos!$B$13,Datos!$B$6*B$6))</f>
        <v>716.12294319818932</v>
      </c>
      <c r="C11" s="35">
        <f>IF($A11=0,Datos!$B$6*C$6/Datos!$B$13,-PMT($A11/Datos!$B$12,Datos!$B$13,Datos!$B$6*C$6))</f>
        <v>835.47676706455411</v>
      </c>
      <c r="D11" s="35">
        <f>IF($A11=0,Datos!$B$6*D$6/Datos!$B$13,-PMT($A11/Datos!$B$12,Datos!$B$13,Datos!$B$6*D$6))</f>
        <v>954.8305909309189</v>
      </c>
      <c r="E11" s="35">
        <f>IF($A11=0,Datos!$B$6*E$6/Datos!$B$13,-PMT($A11/Datos!$B$12,Datos!$B$13,Datos!$B$6*E$6))</f>
        <v>1074.1844147972838</v>
      </c>
      <c r="F11" s="35">
        <f>IF($A11=0,Datos!$B$6*F$6/Datos!$B$13,-PMT($A11/Datos!$B$12,Datos!$B$13,Datos!$B$6*F$6))</f>
        <v>1193.5382386636488</v>
      </c>
    </row>
    <row r="12" spans="1:7" ht="15" customHeight="1">
      <c r="A12" s="30">
        <v>0.05</v>
      </c>
      <c r="B12" s="35">
        <f>IF($A12=0,Datos!$B$6*B$6/Datos!$B$13,-PMT($A12/Datos!$B$12,Datos!$B$13,Datos!$B$6*B$6))</f>
        <v>805.23243451820861</v>
      </c>
      <c r="C12" s="35">
        <f>IF($A12=0,Datos!$B$6*C$6/Datos!$B$13,-PMT($A12/Datos!$B$12,Datos!$B$13,Datos!$B$6*C$6))</f>
        <v>939.43784027124332</v>
      </c>
      <c r="D12" s="35">
        <f>IF($A12=0,Datos!$B$6*D$6/Datos!$B$13,-PMT($A12/Datos!$B$12,Datos!$B$13,Datos!$B$6*D$6))</f>
        <v>1073.6432460242781</v>
      </c>
      <c r="E12" s="35">
        <f>IF($A12=0,Datos!$B$6*E$6/Datos!$B$13,-PMT($A12/Datos!$B$12,Datos!$B$13,Datos!$B$6*E$6))</f>
        <v>1207.8486517773129</v>
      </c>
      <c r="F12" s="35">
        <f>IF($A12=0,Datos!$B$6*F$6/Datos!$B$13,-PMT($A12/Datos!$B$12,Datos!$B$13,Datos!$B$6*F$6))</f>
        <v>1342.0540575303476</v>
      </c>
    </row>
    <row r="15" spans="1:7" ht="15" customHeight="1">
      <c r="A15" s="59" t="s">
        <v>260</v>
      </c>
      <c r="B15" s="59"/>
      <c r="C15" s="59"/>
      <c r="D15" s="59"/>
      <c r="E15" s="59"/>
      <c r="F15" s="59"/>
      <c r="G15" s="59"/>
    </row>
    <row r="16" spans="1:7" ht="15" customHeight="1">
      <c r="A16" s="38" t="s">
        <v>259</v>
      </c>
      <c r="B16" s="30">
        <v>0.6</v>
      </c>
      <c r="C16" s="30">
        <v>0.7</v>
      </c>
      <c r="D16" s="30">
        <v>0.8</v>
      </c>
      <c r="E16" s="30">
        <v>0.9</v>
      </c>
      <c r="F16" s="30">
        <v>1</v>
      </c>
    </row>
    <row r="17" spans="1:6" ht="15" customHeight="1">
      <c r="A17" s="30">
        <v>0.02</v>
      </c>
      <c r="B17" s="45">
        <f>IFERROR((IF($A17=0,Datos!$B$6*B$16/Datos!$B$13,-PMT($A17/Datos!$B$12,Datos!$B$13,Datos!$B$6*B$16))+Datos!$B$30)/Datos!$B$29,0)</f>
        <v>0.12893702535656529</v>
      </c>
      <c r="C17" s="45">
        <f>IFERROR((IF($A17=0,Datos!$B$6*C$16/Datos!$B$13,-PMT($A17/Datos!$B$12,Datos!$B$13,Datos!$B$6*C$16))+Datos!$B$30)/Datos!$B$29,0)</f>
        <v>0.15042652958265954</v>
      </c>
      <c r="D17" s="45">
        <f>IFERROR((IF($A17=0,Datos!$B$6*D$16/Datos!$B$13,-PMT($A17/Datos!$B$12,Datos!$B$13,Datos!$B$6*D$16))+Datos!$B$30)/Datos!$B$29,0)</f>
        <v>0.17191603380875375</v>
      </c>
      <c r="E17" s="45">
        <f>IFERROR((IF($A17=0,Datos!$B$6*E$16/Datos!$B$13,-PMT($A17/Datos!$B$12,Datos!$B$13,Datos!$B$6*E$16))+Datos!$B$30)/Datos!$B$29,0)</f>
        <v>0.19340553803484795</v>
      </c>
      <c r="F17" s="45">
        <f>IFERROR((IF($A17=0,Datos!$B$6*F$16/Datos!$B$13,-PMT($A17/Datos!$B$12,Datos!$B$13,Datos!$B$6*F$16))+Datos!$B$30)/Datos!$B$29,0)</f>
        <v>0.21489504226094217</v>
      </c>
    </row>
    <row r="18" spans="1:6" ht="15" customHeight="1">
      <c r="A18" s="30">
        <v>2.5000000000000001E-2</v>
      </c>
      <c r="B18" s="45">
        <f>IFERROR((IF($A18=0,Datos!$B$6*B$16/Datos!$B$13,-PMT($A18/Datos!$B$12,Datos!$B$13,Datos!$B$6*B$16))+Datos!$B$30)/Datos!$B$29,0)</f>
        <v>0.13783287168060418</v>
      </c>
      <c r="C18" s="45">
        <f>IFERROR((IF($A18=0,Datos!$B$6*C$16/Datos!$B$13,-PMT($A18/Datos!$B$12,Datos!$B$13,Datos!$B$6*C$16))+Datos!$B$30)/Datos!$B$29,0)</f>
        <v>0.16080501696070493</v>
      </c>
      <c r="D18" s="45">
        <f>IFERROR((IF($A18=0,Datos!$B$6*D$16/Datos!$B$13,-PMT($A18/Datos!$B$12,Datos!$B$13,Datos!$B$6*D$16))+Datos!$B$30)/Datos!$B$29,0)</f>
        <v>0.18377716224080559</v>
      </c>
      <c r="E18" s="45">
        <f>IFERROR((IF($A18=0,Datos!$B$6*E$16/Datos!$B$13,-PMT($A18/Datos!$B$12,Datos!$B$13,Datos!$B$6*E$16))+Datos!$B$30)/Datos!$B$29,0)</f>
        <v>0.20674930752090628</v>
      </c>
      <c r="F18" s="45">
        <f>IFERROR((IF($A18=0,Datos!$B$6*F$16/Datos!$B$13,-PMT($A18/Datos!$B$12,Datos!$B$13,Datos!$B$6*F$16))+Datos!$B$30)/Datos!$B$29,0)</f>
        <v>0.229721452801007</v>
      </c>
    </row>
    <row r="19" spans="1:6" ht="15" customHeight="1">
      <c r="A19" s="30">
        <v>0.03</v>
      </c>
      <c r="B19" s="45">
        <f>IFERROR((IF($A19=0,Datos!$B$6*B$16/Datos!$B$13,-PMT($A19/Datos!$B$12,Datos!$B$13,Datos!$B$6*B$16))+Datos!$B$30)/Datos!$B$29,0)</f>
        <v>0.14707117455678503</v>
      </c>
      <c r="C19" s="45">
        <f>IFERROR((IF($A19=0,Datos!$B$6*C$16/Datos!$B$13,-PMT($A19/Datos!$B$12,Datos!$B$13,Datos!$B$6*C$16))+Datos!$B$30)/Datos!$B$29,0)</f>
        <v>0.17158303698291591</v>
      </c>
      <c r="D19" s="45">
        <f>IFERROR((IF($A19=0,Datos!$B$6*D$16/Datos!$B$13,-PMT($A19/Datos!$B$12,Datos!$B$13,Datos!$B$6*D$16))+Datos!$B$30)/Datos!$B$29,0)</f>
        <v>0.19609489940904673</v>
      </c>
      <c r="E19" s="45">
        <f>IFERROR((IF($A19=0,Datos!$B$6*E$16/Datos!$B$13,-PMT($A19/Datos!$B$12,Datos!$B$13,Datos!$B$6*E$16))+Datos!$B$30)/Datos!$B$29,0)</f>
        <v>0.22060676183517758</v>
      </c>
      <c r="F19" s="45">
        <f>IFERROR((IF($A19=0,Datos!$B$6*F$16/Datos!$B$13,-PMT($A19/Datos!$B$12,Datos!$B$13,Datos!$B$6*F$16))+Datos!$B$30)/Datos!$B$29,0)</f>
        <v>0.24511862426130843</v>
      </c>
    </row>
    <row r="20" spans="1:6" ht="15" customHeight="1">
      <c r="A20" s="30">
        <v>3.5000000000000003E-2</v>
      </c>
      <c r="B20" s="45">
        <f>IFERROR((IF($A20=0,Datos!$B$6*B$16/Datos!$B$13,-PMT($A20/Datos!$B$12,Datos!$B$13,Datos!$B$6*B$16))+Datos!$B$30)/Datos!$B$29,0)</f>
        <v>0.15664349574726436</v>
      </c>
      <c r="C20" s="45">
        <f>IFERROR((IF($A20=0,Datos!$B$6*C$16/Datos!$B$13,-PMT($A20/Datos!$B$12,Datos!$B$13,Datos!$B$6*C$16))+Datos!$B$30)/Datos!$B$29,0)</f>
        <v>0.18275074503847505</v>
      </c>
      <c r="D20" s="45">
        <f>IFERROR((IF($A20=0,Datos!$B$6*D$16/Datos!$B$13,-PMT($A20/Datos!$B$12,Datos!$B$13,Datos!$B$6*D$16))+Datos!$B$30)/Datos!$B$29,0)</f>
        <v>0.20885799432968583</v>
      </c>
      <c r="E20" s="45">
        <f>IFERROR((IF($A20=0,Datos!$B$6*E$16/Datos!$B$13,-PMT($A20/Datos!$B$12,Datos!$B$13,Datos!$B$6*E$16))+Datos!$B$30)/Datos!$B$29,0)</f>
        <v>0.23496524362089652</v>
      </c>
      <c r="F20" s="45">
        <f>IFERROR((IF($A20=0,Datos!$B$6*F$16/Datos!$B$13,-PMT($A20/Datos!$B$12,Datos!$B$13,Datos!$B$6*F$16))+Datos!$B$30)/Datos!$B$29,0)</f>
        <v>0.26107249291210721</v>
      </c>
    </row>
    <row r="21" spans="1:6" ht="15" customHeight="1">
      <c r="A21" s="30">
        <v>0.04</v>
      </c>
      <c r="B21" s="45">
        <f>IFERROR((IF($A21=0,Datos!$B$6*B$16/Datos!$B$13,-PMT($A21/Datos!$B$12,Datos!$B$13,Datos!$B$6*B$16))+Datos!$B$30)/Datos!$B$29,0)</f>
        <v>0.16654021934841612</v>
      </c>
      <c r="C21" s="45">
        <f>IFERROR((IF($A21=0,Datos!$B$6*C$16/Datos!$B$13,-PMT($A21/Datos!$B$12,Datos!$B$13,Datos!$B$6*C$16))+Datos!$B$30)/Datos!$B$29,0)</f>
        <v>0.19429692257315212</v>
      </c>
      <c r="D21" s="45">
        <f>IFERROR((IF($A21=0,Datos!$B$6*D$16/Datos!$B$13,-PMT($A21/Datos!$B$12,Datos!$B$13,Datos!$B$6*D$16))+Datos!$B$30)/Datos!$B$29,0)</f>
        <v>0.22205362579788812</v>
      </c>
      <c r="E21" s="45">
        <f>IFERROR((IF($A21=0,Datos!$B$6*E$16/Datos!$B$13,-PMT($A21/Datos!$B$12,Datos!$B$13,Datos!$B$6*E$16))+Datos!$B$30)/Datos!$B$29,0)</f>
        <v>0.24981032902262415</v>
      </c>
      <c r="F21" s="45">
        <f>IFERROR((IF($A21=0,Datos!$B$6*F$16/Datos!$B$13,-PMT($A21/Datos!$B$12,Datos!$B$13,Datos!$B$6*F$16))+Datos!$B$30)/Datos!$B$29,0)</f>
        <v>0.27756703224736018</v>
      </c>
    </row>
    <row r="22" spans="1:6" ht="15" customHeight="1">
      <c r="A22" s="30">
        <v>0.05</v>
      </c>
      <c r="B22" s="45">
        <f>IFERROR((IF($A22=0,Datos!$B$6*B$16/Datos!$B$13,-PMT($A22/Datos!$B$12,Datos!$B$13,Datos!$B$6*B$16))+Datos!$B$30)/Datos!$B$29,0)</f>
        <v>0.18726335686469966</v>
      </c>
      <c r="C22" s="45">
        <f>IFERROR((IF($A22=0,Datos!$B$6*C$16/Datos!$B$13,-PMT($A22/Datos!$B$12,Datos!$B$13,Datos!$B$6*C$16))+Datos!$B$30)/Datos!$B$29,0)</f>
        <v>0.2184739163421496</v>
      </c>
      <c r="D22" s="45">
        <f>IFERROR((IF($A22=0,Datos!$B$6*D$16/Datos!$B$13,-PMT($A22/Datos!$B$12,Datos!$B$13,Datos!$B$6*D$16))+Datos!$B$30)/Datos!$B$29,0)</f>
        <v>0.24968447581959957</v>
      </c>
      <c r="E22" s="45">
        <f>IFERROR((IF($A22=0,Datos!$B$6*E$16/Datos!$B$13,-PMT($A22/Datos!$B$12,Datos!$B$13,Datos!$B$6*E$16))+Datos!$B$30)/Datos!$B$29,0)</f>
        <v>0.28089503529704951</v>
      </c>
      <c r="F22" s="45">
        <f>IFERROR((IF($A22=0,Datos!$B$6*F$16/Datos!$B$13,-PMT($A22/Datos!$B$12,Datos!$B$13,Datos!$B$6*F$16))+Datos!$B$30)/Datos!$B$29,0)</f>
        <v>0.31210559477449945</v>
      </c>
    </row>
  </sheetData>
  <mergeCells count="4">
    <mergeCell ref="A1:G1"/>
    <mergeCell ref="A3:G3"/>
    <mergeCell ref="A5:G5"/>
    <mergeCell ref="A15:G15"/>
  </mergeCells>
  <pageMargins left="0.75" right="0.75" top="1" bottom="1" header="0.511811023622047" footer="0.511811023622047"/>
  <pageSetup fitToHeight="0" orientation="portrait" horizontalDpi="300" verticalDpi="300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greaterThan" id="{00000000-000E-0000-0700-000002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B17</xm:sqref>
        </x14:conditionalFormatting>
        <x14:conditionalFormatting xmlns:xm="http://schemas.microsoft.com/office/excel/2006/main">
          <x14:cfRule type="cellIs" priority="3" operator="greaterThan" id="{00000000-000E-0000-0700-000003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C17</xm:sqref>
        </x14:conditionalFormatting>
        <x14:conditionalFormatting xmlns:xm="http://schemas.microsoft.com/office/excel/2006/main">
          <x14:cfRule type="cellIs" priority="4" operator="greaterThan" id="{00000000-000E-0000-0700-000004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D17</xm:sqref>
        </x14:conditionalFormatting>
        <x14:conditionalFormatting xmlns:xm="http://schemas.microsoft.com/office/excel/2006/main">
          <x14:cfRule type="cellIs" priority="5" operator="greaterThan" id="{00000000-000E-0000-0700-000005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cellIs" priority="6" operator="greaterThan" id="{00000000-000E-0000-0700-000006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F17</xm:sqref>
        </x14:conditionalFormatting>
        <x14:conditionalFormatting xmlns:xm="http://schemas.microsoft.com/office/excel/2006/main">
          <x14:cfRule type="cellIs" priority="7" operator="greaterThan" id="{00000000-000E-0000-0700-000007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B18</xm:sqref>
        </x14:conditionalFormatting>
        <x14:conditionalFormatting xmlns:xm="http://schemas.microsoft.com/office/excel/2006/main">
          <x14:cfRule type="cellIs" priority="8" operator="greaterThan" id="{00000000-000E-0000-0700-000008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cellIs" priority="9" operator="greaterThan" id="{00000000-000E-0000-0700-000009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cellIs" priority="10" operator="greaterThan" id="{00000000-000E-0000-0700-00000A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cellIs" priority="11" operator="greaterThan" id="{00000000-000E-0000-0700-00000B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cellIs" priority="12" operator="greaterThan" id="{00000000-000E-0000-0700-00000C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cellIs" priority="13" operator="greaterThan" id="{00000000-000E-0000-0700-00000D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C19</xm:sqref>
        </x14:conditionalFormatting>
        <x14:conditionalFormatting xmlns:xm="http://schemas.microsoft.com/office/excel/2006/main">
          <x14:cfRule type="cellIs" priority="14" operator="greaterThan" id="{00000000-000E-0000-0700-00000E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cellIs" priority="15" operator="greaterThan" id="{00000000-000E-0000-0700-00000F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E19</xm:sqref>
        </x14:conditionalFormatting>
        <x14:conditionalFormatting xmlns:xm="http://schemas.microsoft.com/office/excel/2006/main">
          <x14:cfRule type="cellIs" priority="16" operator="greaterThan" id="{00000000-000E-0000-0700-000010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cellIs" priority="17" operator="greaterThan" id="{00000000-000E-0000-0700-000011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B20</xm:sqref>
        </x14:conditionalFormatting>
        <x14:conditionalFormatting xmlns:xm="http://schemas.microsoft.com/office/excel/2006/main">
          <x14:cfRule type="cellIs" priority="18" operator="greaterThan" id="{00000000-000E-0000-0700-000012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cellIs" priority="19" operator="greaterThan" id="{00000000-000E-0000-0700-000013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cellIs" priority="20" operator="greaterThan" id="{00000000-000E-0000-0700-000014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E20</xm:sqref>
        </x14:conditionalFormatting>
        <x14:conditionalFormatting xmlns:xm="http://schemas.microsoft.com/office/excel/2006/main">
          <x14:cfRule type="cellIs" priority="21" operator="greaterThan" id="{00000000-000E-0000-0700-000015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cellIs" priority="22" operator="greaterThan" id="{00000000-000E-0000-0700-000016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B21</xm:sqref>
        </x14:conditionalFormatting>
        <x14:conditionalFormatting xmlns:xm="http://schemas.microsoft.com/office/excel/2006/main">
          <x14:cfRule type="cellIs" priority="23" operator="greaterThan" id="{00000000-000E-0000-0700-000017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C21</xm:sqref>
        </x14:conditionalFormatting>
        <x14:conditionalFormatting xmlns:xm="http://schemas.microsoft.com/office/excel/2006/main">
          <x14:cfRule type="cellIs" priority="24" operator="greaterThan" id="{00000000-000E-0000-0700-000018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D21</xm:sqref>
        </x14:conditionalFormatting>
        <x14:conditionalFormatting xmlns:xm="http://schemas.microsoft.com/office/excel/2006/main">
          <x14:cfRule type="cellIs" priority="25" operator="greaterThan" id="{00000000-000E-0000-0700-000019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cellIs" priority="26" operator="greaterThan" id="{00000000-000E-0000-0700-00001A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cellIs" priority="27" operator="greaterThan" id="{00000000-000E-0000-0700-00001B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B22</xm:sqref>
        </x14:conditionalFormatting>
        <x14:conditionalFormatting xmlns:xm="http://schemas.microsoft.com/office/excel/2006/main">
          <x14:cfRule type="cellIs" priority="28" operator="greaterThan" id="{00000000-000E-0000-0700-00001C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C22</xm:sqref>
        </x14:conditionalFormatting>
        <x14:conditionalFormatting xmlns:xm="http://schemas.microsoft.com/office/excel/2006/main">
          <x14:cfRule type="cellIs" priority="29" operator="greaterThan" id="{00000000-000E-0000-0700-00001D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D22</xm:sqref>
        </x14:conditionalFormatting>
        <x14:conditionalFormatting xmlns:xm="http://schemas.microsoft.com/office/excel/2006/main">
          <x14:cfRule type="cellIs" priority="30" operator="greaterThan" id="{00000000-000E-0000-0700-00001E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E22</xm:sqref>
        </x14:conditionalFormatting>
        <x14:conditionalFormatting xmlns:xm="http://schemas.microsoft.com/office/excel/2006/main">
          <x14:cfRule type="cellIs" priority="31" operator="greaterThan" id="{00000000-000E-0000-0700-00001F000000}">
            <xm:f>Datos!$B$27</xm:f>
            <x14:dxf>
              <fill>
                <patternFill>
                  <bgColor rgb="FFF4CCCC"/>
                </patternFill>
              </fill>
            </x14:dxf>
          </x14:cfRule>
          <xm:sqref>F22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28"/>
  <sheetViews>
    <sheetView showGridLines="0" zoomScale="90" zoomScaleNormal="90" workbookViewId="0">
      <pane ySplit="3" topLeftCell="A4" activePane="bottomLeft" state="frozen"/>
      <selection pane="bottomLeft"/>
    </sheetView>
  </sheetViews>
  <sheetFormatPr defaultColWidth="8.7109375" defaultRowHeight="15"/>
  <cols>
    <col min="1" max="1" width="28" customWidth="1"/>
    <col min="2" max="2" width="95" customWidth="1"/>
  </cols>
  <sheetData>
    <row r="1" spans="1:2" ht="25.5" customHeight="1">
      <c r="A1" s="61" t="s">
        <v>261</v>
      </c>
      <c r="B1" s="61"/>
    </row>
    <row r="3" spans="1:2" ht="15" customHeight="1">
      <c r="A3" s="59" t="s">
        <v>262</v>
      </c>
      <c r="B3" s="59"/>
    </row>
    <row r="4" spans="1:2" ht="23.25" customHeight="1">
      <c r="A4" s="46" t="s">
        <v>139</v>
      </c>
      <c r="B4" s="2" t="s">
        <v>263</v>
      </c>
    </row>
    <row r="5" spans="1:2" ht="23.25" customHeight="1">
      <c r="A5" s="46" t="s">
        <v>264</v>
      </c>
      <c r="B5" s="2" t="s">
        <v>265</v>
      </c>
    </row>
    <row r="6" spans="1:2" ht="23.25" customHeight="1">
      <c r="A6" s="46" t="s">
        <v>57</v>
      </c>
      <c r="B6" s="2" t="s">
        <v>266</v>
      </c>
    </row>
    <row r="7" spans="1:2" ht="23.25" customHeight="1">
      <c r="A7" s="46" t="s">
        <v>267</v>
      </c>
      <c r="B7" s="2" t="s">
        <v>268</v>
      </c>
    </row>
    <row r="8" spans="1:2" ht="15" customHeight="1">
      <c r="A8" s="46" t="s">
        <v>269</v>
      </c>
      <c r="B8" s="2" t="s">
        <v>270</v>
      </c>
    </row>
    <row r="9" spans="1:2" ht="15" customHeight="1">
      <c r="A9" s="46" t="s">
        <v>105</v>
      </c>
      <c r="B9" s="2" t="s">
        <v>271</v>
      </c>
    </row>
    <row r="10" spans="1:2" ht="15" customHeight="1">
      <c r="A10" s="46" t="s">
        <v>272</v>
      </c>
      <c r="B10" s="2" t="s">
        <v>273</v>
      </c>
    </row>
    <row r="11" spans="1:2" ht="15" customHeight="1">
      <c r="A11" s="46" t="s">
        <v>274</v>
      </c>
      <c r="B11" s="2" t="s">
        <v>275</v>
      </c>
    </row>
    <row r="14" spans="1:2" ht="15" customHeight="1">
      <c r="A14" s="59" t="s">
        <v>276</v>
      </c>
      <c r="B14" s="59"/>
    </row>
    <row r="15" spans="1:2" ht="23.25" customHeight="1">
      <c r="A15" s="46" t="s">
        <v>277</v>
      </c>
      <c r="B15" s="2" t="s">
        <v>278</v>
      </c>
    </row>
    <row r="16" spans="1:2" ht="15" customHeight="1">
      <c r="A16" s="46" t="s">
        <v>279</v>
      </c>
      <c r="B16" s="2" t="s">
        <v>280</v>
      </c>
    </row>
    <row r="17" spans="1:2" ht="15" customHeight="1">
      <c r="A17" s="46" t="s">
        <v>281</v>
      </c>
      <c r="B17" s="2" t="s">
        <v>282</v>
      </c>
    </row>
    <row r="18" spans="1:2" ht="23.25" customHeight="1">
      <c r="A18" s="46" t="s">
        <v>283</v>
      </c>
      <c r="B18" s="2" t="s">
        <v>284</v>
      </c>
    </row>
    <row r="19" spans="1:2" ht="15" customHeight="1">
      <c r="A19" s="46" t="s">
        <v>61</v>
      </c>
      <c r="B19" s="2" t="s">
        <v>285</v>
      </c>
    </row>
    <row r="20" spans="1:2" ht="23.25" customHeight="1">
      <c r="A20" s="46" t="s">
        <v>89</v>
      </c>
      <c r="B20" s="2" t="s">
        <v>286</v>
      </c>
    </row>
    <row r="21" spans="1:2" ht="23.25" customHeight="1">
      <c r="A21" s="46" t="s">
        <v>287</v>
      </c>
      <c r="B21" s="2" t="s">
        <v>288</v>
      </c>
    </row>
    <row r="24" spans="1:2" ht="15" customHeight="1">
      <c r="A24" s="59" t="s">
        <v>289</v>
      </c>
      <c r="B24" s="59"/>
    </row>
    <row r="25" spans="1:2" ht="15" customHeight="1">
      <c r="A25" s="33" t="s">
        <v>290</v>
      </c>
      <c r="B25" s="47" t="s">
        <v>291</v>
      </c>
    </row>
    <row r="26" spans="1:2" ht="15" customHeight="1">
      <c r="A26" s="48" t="s">
        <v>292</v>
      </c>
      <c r="B26" s="47" t="s">
        <v>293</v>
      </c>
    </row>
    <row r="27" spans="1:2" ht="15" customHeight="1">
      <c r="A27" s="37" t="s">
        <v>294</v>
      </c>
      <c r="B27" s="47" t="s">
        <v>295</v>
      </c>
    </row>
    <row r="28" spans="1:2" ht="15" customHeight="1">
      <c r="A28" s="49" t="s">
        <v>296</v>
      </c>
      <c r="B28" s="47" t="s">
        <v>297</v>
      </c>
    </row>
  </sheetData>
  <mergeCells count="4">
    <mergeCell ref="A1:B1"/>
    <mergeCell ref="A3:B3"/>
    <mergeCell ref="A14:B14"/>
    <mergeCell ref="A24:B24"/>
  </mergeCells>
  <pageMargins left="0.75" right="0.75" top="1" bottom="1" header="0.511811023622047" footer="0.511811023622047"/>
  <pageSetup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Calculadora integral de hipoteca</dc:title>
  <dc:subject>Financiación, gastos, endeudamiento y amortización</dc:subject>
  <dc:creator>BOGDAN LUCIAN POP</dc:creator>
  <cp:keywords/>
  <dc:description/>
  <cp:lastModifiedBy/>
  <cp:revision>0</cp:revision>
  <dcterms:created xsi:type="dcterms:W3CDTF">2026-07-22T08:27:07Z</dcterms:created>
  <dcterms:modified xsi:type="dcterms:W3CDTF">2026-07-22T08:35:53Z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2c11c9e-624c-4a75-9f78-0989052ff6ea_Enabled">
    <vt:lpwstr>true</vt:lpwstr>
  </property>
  <property fmtid="{D5CDD505-2E9C-101B-9397-08002B2CF9AE}" pid="3" name="MSIP_Label_c2c11c9e-624c-4a75-9f78-0989052ff6ea_SetDate">
    <vt:lpwstr>2026-07-22T08:35:49Z</vt:lpwstr>
  </property>
  <property fmtid="{D5CDD505-2E9C-101B-9397-08002B2CF9AE}" pid="4" name="MSIP_Label_c2c11c9e-624c-4a75-9f78-0989052ff6ea_Method">
    <vt:lpwstr>Privileged</vt:lpwstr>
  </property>
  <property fmtid="{D5CDD505-2E9C-101B-9397-08002B2CF9AE}" pid="5" name="MSIP_Label_c2c11c9e-624c-4a75-9f78-0989052ff6ea_Name">
    <vt:lpwstr>c2c11c9e-624c-4a75-9f78-0989052ff6ea</vt:lpwstr>
  </property>
  <property fmtid="{D5CDD505-2E9C-101B-9397-08002B2CF9AE}" pid="6" name="MSIP_Label_c2c11c9e-624c-4a75-9f78-0989052ff6ea_SiteId">
    <vt:lpwstr>5df31d35-3ba9-481e-a3c8-ff9be3ee783b</vt:lpwstr>
  </property>
  <property fmtid="{D5CDD505-2E9C-101B-9397-08002B2CF9AE}" pid="7" name="MSIP_Label_c2c11c9e-624c-4a75-9f78-0989052ff6ea_ActionId">
    <vt:lpwstr>28c796b4-8a12-496f-89f7-2cd447592a03</vt:lpwstr>
  </property>
  <property fmtid="{D5CDD505-2E9C-101B-9397-08002B2CF9AE}" pid="8" name="MSIP_Label_c2c11c9e-624c-4a75-9f78-0989052ff6ea_ContentBits">
    <vt:lpwstr>0</vt:lpwstr>
  </property>
  <property fmtid="{D5CDD505-2E9C-101B-9397-08002B2CF9AE}" pid="9" name="MSIP_Label_c2c11c9e-624c-4a75-9f78-0989052ff6ea_Tag">
    <vt:lpwstr>10, 0, 1, 2</vt:lpwstr>
  </property>
</Properties>
</file>